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drawings/drawing1.xml" ContentType="application/vnd.openxmlformats-officedocument.drawing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defaultThemeVersion="166925"/>
  <mc:AlternateContent xmlns:mc="http://schemas.openxmlformats.org/markup-compatibility/2006">
    <mc:Choice Requires="x15">
      <x15ac:absPath xmlns:x15ac="http://schemas.microsoft.com/office/spreadsheetml/2010/11/ac" url="T:\Finances\2. MARCOS\1. EPRD\2025\EPRD V2\"/>
    </mc:Choice>
  </mc:AlternateContent>
  <xr:revisionPtr revIDLastSave="0" documentId="13_ncr:1_{7245862B-2201-44B1-BCED-7D6CFA9CB822}" xr6:coauthVersionLast="36" xr6:coauthVersionMax="36" xr10:uidLastSave="{00000000-0000-0000-0000-000000000000}"/>
  <bookViews>
    <workbookView xWindow="0" yWindow="0" windowWidth="21570" windowHeight="7980" firstSheet="8" activeTab="14" xr2:uid="{985B287A-CF80-4123-A520-F742AE131FB4}"/>
  </bookViews>
  <sheets>
    <sheet name="=&gt; Budget principal" sheetId="13" r:id="rId1"/>
    <sheet name="SYNTHESE" sheetId="4" r:id="rId2"/>
    <sheet name="RECETTES" sheetId="2" r:id="rId3"/>
    <sheet name="DEPENSES" sheetId="3" r:id="rId4"/>
    <sheet name="Mesures nouvelles" sheetId="7" r:id="rId5"/>
    <sheet name="=&gt; Budgets annexes" sheetId="11" r:id="rId6"/>
    <sheet name="Ehpad Sens" sheetId="12" r:id="rId7"/>
    <sheet name="Ehpad VSY" sheetId="14" r:id="rId8"/>
    <sheet name="SSIAD" sheetId="15" r:id="rId9"/>
    <sheet name="IFMS" sheetId="16" r:id="rId10"/>
    <sheet name="GHT" sheetId="17" r:id="rId11"/>
    <sheet name="DNA" sheetId="18" r:id="rId12"/>
    <sheet name="Synthèse BA 2024" sheetId="28" r:id="rId13"/>
    <sheet name="=&gt; Immobilisations" sheetId="19" r:id="rId14"/>
    <sheet name="Prog Inv 2025" sheetId="21" r:id="rId15"/>
    <sheet name="Titan" sheetId="22" r:id="rId16"/>
    <sheet name="Chapelle" sheetId="25" r:id="rId17"/>
    <sheet name="Reports" sheetId="27" r:id="rId18"/>
    <sheet name="TabFin" sheetId="29" r:id="rId19"/>
    <sheet name="CAF" sheetId="30" r:id="rId20"/>
    <sheet name="Feuil1" sheetId="26" state="hidden" r:id="rId21"/>
    <sheet name="-&gt; Détail GCS" sheetId="8" state="hidden" r:id="rId22"/>
    <sheet name="Part libéraux" sheetId="9" state="hidden" r:id="rId23"/>
    <sheet name="Redevance" sheetId="10" state="hidden" r:id="rId24"/>
  </sheets>
  <definedNames>
    <definedName name="\Après_DGFIP\IMPOT_REM\M_1_REAL">Feuil1!$F$29</definedName>
    <definedName name="\Après_DGFIP\IMPOT_REM\TOT_M">Feuil1!$G$29</definedName>
  </definedNames>
  <calcPr calcId="191029"/>
  <pivotCaches>
    <pivotCache cacheId="0" r:id="rId25"/>
    <pivotCache cacheId="1" r:id="rId26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0" i="21" l="1"/>
  <c r="E48" i="30"/>
  <c r="D48" i="30"/>
  <c r="E47" i="30"/>
  <c r="E46" i="30"/>
  <c r="D46" i="30"/>
  <c r="E37" i="30"/>
  <c r="D37" i="30"/>
  <c r="E36" i="30"/>
  <c r="E35" i="30"/>
  <c r="D35" i="30"/>
  <c r="E31" i="30"/>
  <c r="G9" i="30"/>
  <c r="E17" i="30"/>
  <c r="E18" i="30" s="1"/>
  <c r="D17" i="30"/>
  <c r="E8" i="30"/>
  <c r="E10" i="30" s="1"/>
  <c r="D8" i="30"/>
  <c r="D10" i="30" s="1"/>
  <c r="M70" i="28"/>
  <c r="M33" i="28"/>
  <c r="O24" i="28" l="1"/>
  <c r="O25" i="28" s="1"/>
  <c r="L32" i="28"/>
  <c r="O104" i="28"/>
  <c r="N104" i="28"/>
  <c r="M104" i="28"/>
  <c r="L104" i="28"/>
  <c r="O102" i="28"/>
  <c r="M102" i="28"/>
  <c r="M103" i="28" s="1"/>
  <c r="O99" i="28"/>
  <c r="O100" i="28" s="1"/>
  <c r="M99" i="28"/>
  <c r="O96" i="28"/>
  <c r="M96" i="28"/>
  <c r="O87" i="28"/>
  <c r="N87" i="28"/>
  <c r="M87" i="28"/>
  <c r="L87" i="28"/>
  <c r="O85" i="28"/>
  <c r="M85" i="28"/>
  <c r="M86" i="28" s="1"/>
  <c r="O82" i="28"/>
  <c r="O83" i="28" s="1"/>
  <c r="M82" i="28"/>
  <c r="O79" i="28"/>
  <c r="M79" i="28"/>
  <c r="O69" i="28"/>
  <c r="N69" i="28"/>
  <c r="M69" i="28"/>
  <c r="L69" i="28"/>
  <c r="O67" i="28"/>
  <c r="O68" i="28" s="1"/>
  <c r="M67" i="28"/>
  <c r="M68" i="28" s="1"/>
  <c r="O64" i="28"/>
  <c r="O65" i="28" s="1"/>
  <c r="M64" i="28"/>
  <c r="M65" i="28" s="1"/>
  <c r="O61" i="28"/>
  <c r="O62" i="28" s="1"/>
  <c r="M61" i="28"/>
  <c r="M62" i="28" s="1"/>
  <c r="O50" i="28"/>
  <c r="N50" i="28"/>
  <c r="M50" i="28"/>
  <c r="L50" i="28"/>
  <c r="O48" i="28"/>
  <c r="O49" i="28" s="1"/>
  <c r="M48" i="28"/>
  <c r="M49" i="28" s="1"/>
  <c r="O45" i="28"/>
  <c r="M45" i="28"/>
  <c r="M46" i="28" s="1"/>
  <c r="O42" i="28"/>
  <c r="O43" i="28" s="1"/>
  <c r="M42" i="28"/>
  <c r="M43" i="28" s="1"/>
  <c r="O32" i="28"/>
  <c r="N32" i="28"/>
  <c r="M32" i="28"/>
  <c r="O30" i="28"/>
  <c r="O31" i="28" s="1"/>
  <c r="M30" i="28"/>
  <c r="M31" i="28" s="1"/>
  <c r="O27" i="28"/>
  <c r="O28" i="28" s="1"/>
  <c r="M24" i="28"/>
  <c r="M25" i="28" s="1"/>
  <c r="O14" i="28"/>
  <c r="N14" i="28"/>
  <c r="M14" i="28"/>
  <c r="L14" i="28"/>
  <c r="O12" i="28"/>
  <c r="O13" i="28" s="1"/>
  <c r="M12" i="28"/>
  <c r="M13" i="28" s="1"/>
  <c r="O9" i="28"/>
  <c r="O10" i="28" s="1"/>
  <c r="M9" i="28"/>
  <c r="M10" i="28" s="1"/>
  <c r="O6" i="28"/>
  <c r="O7" i="28" s="1"/>
  <c r="M6" i="28"/>
  <c r="M7" i="28" s="1"/>
  <c r="M27" i="28" l="1"/>
  <c r="M28" i="28" s="1"/>
  <c r="L33" i="28"/>
  <c r="L51" i="28"/>
  <c r="L70" i="28"/>
  <c r="N88" i="28"/>
  <c r="L105" i="28"/>
  <c r="M51" i="28"/>
  <c r="O88" i="28"/>
  <c r="M105" i="28"/>
  <c r="L15" i="28"/>
  <c r="M15" i="28"/>
  <c r="D15" i="29"/>
  <c r="C15" i="29"/>
  <c r="D8" i="29"/>
  <c r="D16" i="29" s="1"/>
  <c r="D18" i="29" s="1"/>
  <c r="C8" i="29"/>
  <c r="C16" i="29" s="1"/>
  <c r="C18" i="29" s="1"/>
  <c r="F104" i="28"/>
  <c r="E104" i="28"/>
  <c r="D104" i="28"/>
  <c r="C104" i="28"/>
  <c r="F102" i="28"/>
  <c r="D102" i="28"/>
  <c r="D103" i="28" s="1"/>
  <c r="F99" i="28"/>
  <c r="F100" i="28" s="1"/>
  <c r="D99" i="28"/>
  <c r="F96" i="28"/>
  <c r="D96" i="28"/>
  <c r="F87" i="28"/>
  <c r="E87" i="28"/>
  <c r="D87" i="28"/>
  <c r="C87" i="28"/>
  <c r="F85" i="28"/>
  <c r="D85" i="28"/>
  <c r="D86" i="28" s="1"/>
  <c r="F83" i="28"/>
  <c r="F82" i="28"/>
  <c r="D82" i="28"/>
  <c r="F79" i="28"/>
  <c r="D79" i="28"/>
  <c r="F69" i="28"/>
  <c r="E69" i="28"/>
  <c r="D69" i="28"/>
  <c r="C69" i="28"/>
  <c r="F67" i="28"/>
  <c r="F68" i="28" s="1"/>
  <c r="D67" i="28"/>
  <c r="D68" i="28" s="1"/>
  <c r="F64" i="28"/>
  <c r="F65" i="28" s="1"/>
  <c r="D64" i="28"/>
  <c r="D65" i="28" s="1"/>
  <c r="F61" i="28"/>
  <c r="F62" i="28" s="1"/>
  <c r="D61" i="28"/>
  <c r="D62" i="28" s="1"/>
  <c r="F50" i="28"/>
  <c r="E50" i="28"/>
  <c r="D50" i="28"/>
  <c r="C50" i="28"/>
  <c r="F48" i="28"/>
  <c r="F49" i="28" s="1"/>
  <c r="D48" i="28"/>
  <c r="D49" i="28" s="1"/>
  <c r="F45" i="28"/>
  <c r="D45" i="28"/>
  <c r="D46" i="28" s="1"/>
  <c r="F42" i="28"/>
  <c r="F43" i="28" s="1"/>
  <c r="D42" i="28"/>
  <c r="D43" i="28" s="1"/>
  <c r="F32" i="28"/>
  <c r="E32" i="28"/>
  <c r="D32" i="28"/>
  <c r="C32" i="28"/>
  <c r="F30" i="28"/>
  <c r="F31" i="28" s="1"/>
  <c r="D30" i="28"/>
  <c r="D31" i="28" s="1"/>
  <c r="F27" i="28"/>
  <c r="F28" i="28" s="1"/>
  <c r="D27" i="28"/>
  <c r="D28" i="28" s="1"/>
  <c r="F24" i="28"/>
  <c r="F25" i="28" s="1"/>
  <c r="D24" i="28"/>
  <c r="D25" i="28" s="1"/>
  <c r="F14" i="28"/>
  <c r="E14" i="28"/>
  <c r="D14" i="28"/>
  <c r="C14" i="28"/>
  <c r="F12" i="28"/>
  <c r="F13" i="28" s="1"/>
  <c r="D12" i="28"/>
  <c r="D13" i="28" s="1"/>
  <c r="F9" i="28"/>
  <c r="F10" i="28" s="1"/>
  <c r="D9" i="28"/>
  <c r="D10" i="28" s="1"/>
  <c r="F6" i="28"/>
  <c r="F7" i="28" s="1"/>
  <c r="D6" i="28"/>
  <c r="D7" i="28" s="1"/>
  <c r="C33" i="28" l="1"/>
  <c r="C51" i="28"/>
  <c r="C70" i="28"/>
  <c r="F88" i="28"/>
  <c r="C105" i="28"/>
  <c r="D15" i="28"/>
  <c r="D33" i="28"/>
  <c r="D51" i="28"/>
  <c r="D70" i="28"/>
  <c r="E88" i="28"/>
  <c r="D105" i="28"/>
  <c r="C15" i="28"/>
  <c r="B19" i="14"/>
  <c r="N418" i="27" l="1"/>
  <c r="C24" i="21" s="1"/>
  <c r="F17" i="3" l="1"/>
  <c r="F9" i="3"/>
  <c r="F5" i="2" l="1"/>
  <c r="N20" i="3" l="1"/>
  <c r="N19" i="3"/>
  <c r="N18" i="3"/>
  <c r="L47" i="7" l="1"/>
  <c r="L43" i="7"/>
  <c r="L57" i="7"/>
  <c r="L60" i="7"/>
  <c r="N57" i="7"/>
  <c r="I21" i="7"/>
  <c r="G22" i="7"/>
  <c r="G21" i="7"/>
  <c r="G39" i="7"/>
  <c r="H35" i="7"/>
  <c r="G42" i="7"/>
  <c r="G41" i="7"/>
  <c r="G40" i="7"/>
  <c r="G38" i="7"/>
  <c r="G37" i="7"/>
  <c r="G36" i="7"/>
  <c r="G35" i="7"/>
  <c r="I35" i="7" l="1"/>
  <c r="F43" i="7" l="1"/>
  <c r="N35" i="7"/>
  <c r="E43" i="7"/>
  <c r="K19" i="26" l="1"/>
  <c r="E10" i="26" l="1"/>
  <c r="H12" i="26"/>
  <c r="E9" i="26"/>
  <c r="E8" i="26"/>
  <c r="G41" i="3"/>
  <c r="E12" i="26" l="1"/>
  <c r="F55" i="7"/>
  <c r="E55" i="7"/>
  <c r="F27" i="25" l="1"/>
  <c r="F26" i="25"/>
  <c r="F25" i="25"/>
  <c r="F24" i="25"/>
  <c r="F23" i="25"/>
  <c r="F20" i="25"/>
  <c r="F19" i="25"/>
  <c r="E29" i="25"/>
  <c r="F29" i="25" s="1"/>
  <c r="E21" i="25"/>
  <c r="F21" i="25" s="1"/>
  <c r="K5" i="3" l="1"/>
  <c r="D3" i="21"/>
  <c r="I54" i="7"/>
  <c r="L54" i="7"/>
  <c r="F47" i="7"/>
  <c r="E47" i="7"/>
  <c r="E12" i="22"/>
  <c r="D12" i="22"/>
  <c r="C12" i="22"/>
  <c r="E10" i="22"/>
  <c r="E5" i="22"/>
  <c r="D13" i="22"/>
  <c r="D11" i="22"/>
  <c r="D10" i="22" s="1"/>
  <c r="D16" i="22" s="1"/>
  <c r="D8" i="22"/>
  <c r="D6" i="22"/>
  <c r="D5" i="22"/>
  <c r="C5" i="22"/>
  <c r="I46" i="7"/>
  <c r="L46" i="7" s="1"/>
  <c r="C13" i="22"/>
  <c r="C11" i="22"/>
  <c r="C10" i="22" s="1"/>
  <c r="C8" i="22"/>
  <c r="C6" i="22"/>
  <c r="C19" i="21"/>
  <c r="D18" i="21" s="1"/>
  <c r="D11" i="21" s="1"/>
  <c r="D28" i="21" s="1"/>
  <c r="C3" i="21"/>
  <c r="N54" i="7" l="1"/>
  <c r="N46" i="7"/>
  <c r="C18" i="21"/>
  <c r="C11" i="21" s="1"/>
  <c r="C28" i="21" s="1"/>
  <c r="C30" i="21" s="1"/>
  <c r="E16" i="22"/>
  <c r="D7" i="4"/>
  <c r="K44" i="2"/>
  <c r="K42" i="2"/>
  <c r="K41" i="2"/>
  <c r="K40" i="2"/>
  <c r="K39" i="2"/>
  <c r="K38" i="2"/>
  <c r="K37" i="2"/>
  <c r="K36" i="2"/>
  <c r="K35" i="2"/>
  <c r="K34" i="2"/>
  <c r="K33" i="2"/>
  <c r="K32" i="2"/>
  <c r="K30" i="2"/>
  <c r="K29" i="2"/>
  <c r="K27" i="2"/>
  <c r="K26" i="2"/>
  <c r="K25" i="2"/>
  <c r="K24" i="2"/>
  <c r="K23" i="2"/>
  <c r="K22" i="2"/>
  <c r="K21" i="2"/>
  <c r="K20" i="2"/>
  <c r="K19" i="2"/>
  <c r="K18" i="2"/>
  <c r="K6" i="2"/>
  <c r="K7" i="2"/>
  <c r="K8" i="2"/>
  <c r="K9" i="2"/>
  <c r="K10" i="2"/>
  <c r="K11" i="2"/>
  <c r="K12" i="2"/>
  <c r="K13" i="2"/>
  <c r="K14" i="2"/>
  <c r="K15" i="2"/>
  <c r="K16" i="2"/>
  <c r="I44" i="2"/>
  <c r="I42" i="2"/>
  <c r="I41" i="2"/>
  <c r="I40" i="2"/>
  <c r="I39" i="2"/>
  <c r="I38" i="2"/>
  <c r="I37" i="2"/>
  <c r="I36" i="2"/>
  <c r="I35" i="2"/>
  <c r="I34" i="2"/>
  <c r="I33" i="2"/>
  <c r="I32" i="2"/>
  <c r="I31" i="2"/>
  <c r="K31" i="2" s="1"/>
  <c r="I30" i="2"/>
  <c r="I29" i="2"/>
  <c r="I27" i="2"/>
  <c r="I26" i="2"/>
  <c r="I25" i="2"/>
  <c r="I24" i="2"/>
  <c r="I23" i="2"/>
  <c r="I22" i="2"/>
  <c r="I21" i="2"/>
  <c r="I20" i="2"/>
  <c r="I19" i="2"/>
  <c r="I18" i="2"/>
  <c r="I6" i="2"/>
  <c r="I7" i="2"/>
  <c r="I8" i="2"/>
  <c r="I9" i="2"/>
  <c r="I10" i="2"/>
  <c r="I11" i="2"/>
  <c r="I12" i="2"/>
  <c r="I13" i="2"/>
  <c r="I14" i="2"/>
  <c r="I15" i="2"/>
  <c r="I16" i="2"/>
  <c r="G28" i="2"/>
  <c r="G17" i="2"/>
  <c r="G4" i="2"/>
  <c r="F28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29" i="2"/>
  <c r="F19" i="2"/>
  <c r="F17" i="2" s="1"/>
  <c r="F20" i="2"/>
  <c r="F21" i="2"/>
  <c r="F22" i="2"/>
  <c r="F23" i="2"/>
  <c r="F24" i="2"/>
  <c r="F25" i="2"/>
  <c r="F26" i="2"/>
  <c r="F27" i="2"/>
  <c r="F18" i="2"/>
  <c r="F6" i="2"/>
  <c r="F7" i="2"/>
  <c r="F4" i="2" s="1"/>
  <c r="F8" i="2"/>
  <c r="F9" i="2"/>
  <c r="F10" i="2"/>
  <c r="F11" i="2"/>
  <c r="F12" i="2"/>
  <c r="F13" i="2"/>
  <c r="F14" i="2"/>
  <c r="F15" i="2"/>
  <c r="F16" i="2"/>
  <c r="K49" i="3"/>
  <c r="K48" i="3"/>
  <c r="K47" i="3"/>
  <c r="K46" i="3"/>
  <c r="K34" i="3"/>
  <c r="I47" i="3"/>
  <c r="I48" i="3"/>
  <c r="I49" i="3"/>
  <c r="I46" i="3"/>
  <c r="I45" i="3"/>
  <c r="F46" i="3"/>
  <c r="C45" i="3"/>
  <c r="D45" i="3"/>
  <c r="E45" i="3"/>
  <c r="F45" i="3"/>
  <c r="G45" i="3"/>
  <c r="H45" i="3"/>
  <c r="J45" i="3"/>
  <c r="K45" i="3"/>
  <c r="I24" i="3"/>
  <c r="K24" i="3" s="1"/>
  <c r="I25" i="3"/>
  <c r="I26" i="3"/>
  <c r="I27" i="3"/>
  <c r="I28" i="3"/>
  <c r="I30" i="3"/>
  <c r="K30" i="3" s="1"/>
  <c r="I31" i="3"/>
  <c r="K31" i="3" s="1"/>
  <c r="I23" i="3"/>
  <c r="I34" i="3"/>
  <c r="I35" i="3"/>
  <c r="I36" i="3"/>
  <c r="I37" i="3"/>
  <c r="I38" i="3"/>
  <c r="I40" i="3"/>
  <c r="K40" i="3" s="1"/>
  <c r="I41" i="3"/>
  <c r="K41" i="3" s="1"/>
  <c r="I42" i="3"/>
  <c r="K42" i="3" s="1"/>
  <c r="I43" i="3"/>
  <c r="K43" i="3" s="1"/>
  <c r="I44" i="3"/>
  <c r="I33" i="3"/>
  <c r="K33" i="3" s="1"/>
  <c r="K44" i="3"/>
  <c r="K38" i="3"/>
  <c r="K37" i="3"/>
  <c r="K36" i="3"/>
  <c r="K35" i="3"/>
  <c r="K28" i="3"/>
  <c r="K27" i="3"/>
  <c r="K26" i="3"/>
  <c r="K25" i="3"/>
  <c r="K23" i="3"/>
  <c r="F23" i="3"/>
  <c r="D22" i="3"/>
  <c r="F22" i="3"/>
  <c r="G22" i="3"/>
  <c r="J22" i="3"/>
  <c r="C22" i="3"/>
  <c r="C4" i="3"/>
  <c r="D4" i="3"/>
  <c r="F4" i="3"/>
  <c r="G4" i="3"/>
  <c r="J4" i="3"/>
  <c r="K6" i="3"/>
  <c r="K7" i="3"/>
  <c r="K8" i="3"/>
  <c r="K10" i="3"/>
  <c r="K11" i="3"/>
  <c r="K12" i="3"/>
  <c r="K13" i="3"/>
  <c r="K14" i="3"/>
  <c r="K15" i="3"/>
  <c r="K16" i="3"/>
  <c r="K18" i="3"/>
  <c r="K19" i="3"/>
  <c r="K20" i="3"/>
  <c r="K21" i="3"/>
  <c r="I6" i="3"/>
  <c r="I7" i="3"/>
  <c r="I8" i="3"/>
  <c r="I10" i="3"/>
  <c r="I11" i="3"/>
  <c r="I12" i="3"/>
  <c r="I13" i="3"/>
  <c r="I14" i="3"/>
  <c r="I15" i="3"/>
  <c r="I16" i="3"/>
  <c r="I17" i="3"/>
  <c r="K17" i="3" s="1"/>
  <c r="I18" i="3"/>
  <c r="I19" i="3"/>
  <c r="I20" i="3"/>
  <c r="I21" i="3"/>
  <c r="I5" i="3"/>
  <c r="F5" i="3"/>
  <c r="H11" i="3"/>
  <c r="N13" i="7"/>
  <c r="N15" i="7"/>
  <c r="N17" i="7"/>
  <c r="F10" i="7"/>
  <c r="E10" i="7"/>
  <c r="G10" i="7" s="1"/>
  <c r="F9" i="7"/>
  <c r="E9" i="7"/>
  <c r="G9" i="7" s="1"/>
  <c r="F8" i="7"/>
  <c r="E8" i="7"/>
  <c r="G8" i="7" l="1"/>
  <c r="L11" i="7"/>
  <c r="L6" i="7"/>
  <c r="H6" i="7" l="1"/>
  <c r="I6" i="7" s="1"/>
  <c r="N6" i="7" s="1"/>
  <c r="G12" i="7"/>
  <c r="F11" i="7" l="1"/>
  <c r="E11" i="7"/>
  <c r="G11" i="7" l="1"/>
  <c r="E21" i="18" l="1"/>
  <c r="D16" i="18"/>
  <c r="C16" i="18"/>
  <c r="B16" i="18"/>
  <c r="D7" i="18"/>
  <c r="C7" i="18"/>
  <c r="B7" i="18"/>
  <c r="B21" i="18" s="1"/>
  <c r="E21" i="17"/>
  <c r="D16" i="17"/>
  <c r="C16" i="17"/>
  <c r="B16" i="17"/>
  <c r="D7" i="17"/>
  <c r="D21" i="17" s="1"/>
  <c r="C7" i="17"/>
  <c r="B7" i="17"/>
  <c r="D21" i="18" l="1"/>
  <c r="B21" i="17"/>
  <c r="C21" i="17"/>
  <c r="C21" i="18"/>
  <c r="H30" i="7"/>
  <c r="H51" i="7" l="1"/>
  <c r="H49" i="7"/>
  <c r="H32" i="7"/>
  <c r="H31" i="7"/>
  <c r="H45" i="7"/>
  <c r="H47" i="7" s="1"/>
  <c r="H28" i="7"/>
  <c r="G19" i="7"/>
  <c r="G20" i="7"/>
  <c r="G23" i="7"/>
  <c r="G24" i="7"/>
  <c r="G25" i="7"/>
  <c r="G26" i="7"/>
  <c r="G27" i="7"/>
  <c r="G45" i="7"/>
  <c r="G47" i="7" s="1"/>
  <c r="G30" i="7"/>
  <c r="I30" i="7" s="1"/>
  <c r="N30" i="7" s="1"/>
  <c r="G31" i="7"/>
  <c r="G32" i="7"/>
  <c r="G33" i="7"/>
  <c r="G49" i="7"/>
  <c r="G50" i="7"/>
  <c r="G51" i="7"/>
  <c r="G34" i="7"/>
  <c r="I34" i="7" s="1"/>
  <c r="G52" i="7"/>
  <c r="I52" i="7" s="1"/>
  <c r="N52" i="7" s="1"/>
  <c r="G53" i="7"/>
  <c r="I53" i="7" s="1"/>
  <c r="N53" i="7" s="1"/>
  <c r="E14" i="14"/>
  <c r="E15" i="14"/>
  <c r="E16" i="14"/>
  <c r="E17" i="14"/>
  <c r="E18" i="14"/>
  <c r="E13" i="14"/>
  <c r="E5" i="14"/>
  <c r="E6" i="14"/>
  <c r="E4" i="14"/>
  <c r="F6" i="12"/>
  <c r="F5" i="12"/>
  <c r="F4" i="12"/>
  <c r="F18" i="12"/>
  <c r="F17" i="12"/>
  <c r="F14" i="12"/>
  <c r="F13" i="12"/>
  <c r="E19" i="12"/>
  <c r="G43" i="7" l="1"/>
  <c r="G55" i="7"/>
  <c r="I49" i="7"/>
  <c r="I45" i="7"/>
  <c r="I51" i="7"/>
  <c r="N51" i="7" s="1"/>
  <c r="I61" i="7"/>
  <c r="N34" i="7"/>
  <c r="I31" i="7"/>
  <c r="N31" i="7" s="1"/>
  <c r="H11" i="7"/>
  <c r="I11" i="7" s="1"/>
  <c r="N11" i="7" s="1"/>
  <c r="I32" i="7"/>
  <c r="N32" i="7" s="1"/>
  <c r="H21" i="7"/>
  <c r="L50" i="7"/>
  <c r="H19" i="7"/>
  <c r="F19" i="12"/>
  <c r="H43" i="7" l="1"/>
  <c r="H50" i="7"/>
  <c r="H55" i="7" s="1"/>
  <c r="L55" i="7"/>
  <c r="L62" i="7"/>
  <c r="H43" i="2" s="1"/>
  <c r="I43" i="2" s="1"/>
  <c r="K43" i="2" s="1"/>
  <c r="I47" i="7"/>
  <c r="N45" i="7"/>
  <c r="N47" i="7" s="1"/>
  <c r="I19" i="7"/>
  <c r="N49" i="7"/>
  <c r="E7" i="12"/>
  <c r="E24" i="12" s="1"/>
  <c r="D19" i="14"/>
  <c r="E19" i="14" s="1"/>
  <c r="D19" i="12"/>
  <c r="H57" i="7" l="1"/>
  <c r="N21" i="7"/>
  <c r="N43" i="7" s="1"/>
  <c r="I43" i="7"/>
  <c r="I50" i="7"/>
  <c r="I55" i="7" s="1"/>
  <c r="B15" i="14"/>
  <c r="B16" i="14"/>
  <c r="B15" i="12"/>
  <c r="B19" i="12"/>
  <c r="C19" i="12"/>
  <c r="C7" i="12"/>
  <c r="N50" i="7" l="1"/>
  <c r="N55" i="7" s="1"/>
  <c r="C16" i="16"/>
  <c r="E21" i="16" l="1"/>
  <c r="D16" i="16"/>
  <c r="B16" i="16"/>
  <c r="D7" i="16"/>
  <c r="C7" i="16"/>
  <c r="B7" i="16"/>
  <c r="C16" i="15"/>
  <c r="B21" i="16" l="1"/>
  <c r="D21" i="16"/>
  <c r="C21" i="16"/>
  <c r="E21" i="15"/>
  <c r="D16" i="15"/>
  <c r="B16" i="15"/>
  <c r="D7" i="15"/>
  <c r="C7" i="15"/>
  <c r="B7" i="15"/>
  <c r="E24" i="14"/>
  <c r="C19" i="14"/>
  <c r="D7" i="14"/>
  <c r="E7" i="14" s="1"/>
  <c r="C7" i="14"/>
  <c r="B7" i="14"/>
  <c r="D24" i="14" l="1"/>
  <c r="B24" i="14"/>
  <c r="B21" i="15"/>
  <c r="D21" i="15"/>
  <c r="C21" i="15"/>
  <c r="C24" i="14"/>
  <c r="D7" i="12" l="1"/>
  <c r="F7" i="12" s="1"/>
  <c r="F24" i="12" s="1"/>
  <c r="B7" i="12"/>
  <c r="C24" i="12" l="1"/>
  <c r="B24" i="12"/>
  <c r="D24" i="12"/>
  <c r="H28" i="2"/>
  <c r="H17" i="2"/>
  <c r="G37" i="2"/>
  <c r="G35" i="2"/>
  <c r="G13" i="2"/>
  <c r="G21" i="3"/>
  <c r="S12" i="10"/>
  <c r="Q14" i="9"/>
  <c r="G32" i="3" l="1"/>
  <c r="G50" i="3" l="1"/>
  <c r="G45" i="2" l="1"/>
  <c r="I17" i="2" l="1"/>
  <c r="D15" i="4" s="1"/>
  <c r="I28" i="2"/>
  <c r="D16" i="4" s="1"/>
  <c r="E22" i="4"/>
  <c r="F29" i="7"/>
  <c r="E29" i="7"/>
  <c r="F28" i="7"/>
  <c r="F57" i="7" s="1"/>
  <c r="E28" i="7"/>
  <c r="E57" i="7" s="1"/>
  <c r="I62" i="7" l="1"/>
  <c r="G29" i="7"/>
  <c r="H29" i="3"/>
  <c r="G28" i="7"/>
  <c r="G57" i="7" s="1"/>
  <c r="I29" i="3" l="1"/>
  <c r="H22" i="3"/>
  <c r="H39" i="3"/>
  <c r="I39" i="3" s="1"/>
  <c r="K39" i="3" s="1"/>
  <c r="I28" i="7"/>
  <c r="N28" i="7" l="1"/>
  <c r="I57" i="7"/>
  <c r="H32" i="3"/>
  <c r="I32" i="3"/>
  <c r="D6" i="4" s="1"/>
  <c r="K29" i="3"/>
  <c r="K22" i="3" s="1"/>
  <c r="I22" i="3"/>
  <c r="D5" i="4" s="1"/>
  <c r="I60" i="7"/>
  <c r="J32" i="3"/>
  <c r="K32" i="3"/>
  <c r="J50" i="3"/>
  <c r="J28" i="2"/>
  <c r="J17" i="2"/>
  <c r="J4" i="2"/>
  <c r="H9" i="3" l="1"/>
  <c r="I9" i="3" s="1"/>
  <c r="I64" i="7"/>
  <c r="I66" i="7" s="1"/>
  <c r="J45" i="2"/>
  <c r="K28" i="2"/>
  <c r="K17" i="2"/>
  <c r="H4" i="3" l="1"/>
  <c r="F47" i="3"/>
  <c r="F48" i="3"/>
  <c r="F49" i="3"/>
  <c r="F34" i="3"/>
  <c r="F35" i="3"/>
  <c r="F36" i="3"/>
  <c r="F37" i="3"/>
  <c r="F38" i="3"/>
  <c r="F39" i="3"/>
  <c r="F40" i="3"/>
  <c r="F41" i="3"/>
  <c r="F42" i="3"/>
  <c r="F43" i="3"/>
  <c r="F44" i="3"/>
  <c r="F33" i="3"/>
  <c r="F24" i="3"/>
  <c r="F25" i="3"/>
  <c r="F26" i="3"/>
  <c r="F27" i="3"/>
  <c r="F28" i="3"/>
  <c r="F29" i="3"/>
  <c r="F30" i="3"/>
  <c r="F31" i="3"/>
  <c r="F16" i="3"/>
  <c r="F15" i="3"/>
  <c r="F14" i="3"/>
  <c r="F13" i="3"/>
  <c r="F11" i="3"/>
  <c r="F8" i="3"/>
  <c r="F6" i="3"/>
  <c r="F7" i="3"/>
  <c r="F10" i="3"/>
  <c r="F12" i="3"/>
  <c r="F18" i="3"/>
  <c r="F19" i="3"/>
  <c r="F20" i="3"/>
  <c r="F21" i="3"/>
  <c r="D28" i="2"/>
  <c r="D17" i="2"/>
  <c r="C15" i="4" s="1"/>
  <c r="D4" i="2"/>
  <c r="C14" i="4" s="1"/>
  <c r="C4" i="2"/>
  <c r="B14" i="4" s="1"/>
  <c r="D32" i="3"/>
  <c r="C32" i="3"/>
  <c r="I4" i="3" l="1"/>
  <c r="K9" i="3"/>
  <c r="K4" i="3" s="1"/>
  <c r="K50" i="3" s="1"/>
  <c r="C16" i="4"/>
  <c r="C17" i="4" s="1"/>
  <c r="F32" i="3"/>
  <c r="D45" i="2"/>
  <c r="F45" i="2" l="1"/>
  <c r="F50" i="3"/>
  <c r="C7" i="4" l="1"/>
  <c r="B7" i="4"/>
  <c r="B6" i="4"/>
  <c r="C4" i="4"/>
  <c r="B4" i="4"/>
  <c r="C6" i="4"/>
  <c r="B5" i="4"/>
  <c r="B8" i="4" l="1"/>
  <c r="C50" i="3"/>
  <c r="C5" i="4"/>
  <c r="D50" i="3"/>
  <c r="C8" i="4" l="1"/>
  <c r="C22" i="4" s="1"/>
  <c r="C28" i="2"/>
  <c r="B16" i="4" s="1"/>
  <c r="C17" i="2" l="1"/>
  <c r="B15" i="4" s="1"/>
  <c r="B17" i="4" l="1"/>
  <c r="C45" i="2"/>
  <c r="B22" i="4" l="1"/>
  <c r="H50" i="3" l="1"/>
  <c r="I50" i="3"/>
  <c r="D4" i="4" l="1"/>
  <c r="D8" i="4" l="1"/>
  <c r="L19" i="7"/>
  <c r="N19" i="7" l="1"/>
  <c r="L64" i="7" l="1"/>
  <c r="H5" i="2"/>
  <c r="I5" i="2" s="1"/>
  <c r="K5" i="2" s="1"/>
  <c r="H4" i="2" l="1"/>
  <c r="H45" i="2" s="1"/>
  <c r="K4" i="2" l="1"/>
  <c r="K45" i="2" s="1"/>
  <c r="I4" i="2"/>
  <c r="D14" i="4" l="1"/>
  <c r="D17" i="4" s="1"/>
  <c r="D22" i="4" s="1"/>
  <c r="I45" i="2"/>
  <c r="C16" i="2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BRUNO LOTH</author>
    <author>Mamadou BARRY</author>
  </authors>
  <commentList>
    <comment ref="F5" authorId="0" shapeId="0" xr:uid="{608DDBF6-7F44-44D1-B408-D1B9A35FF97D}">
      <text>
        <r>
          <rPr>
            <b/>
            <sz val="9"/>
            <color indexed="81"/>
            <rFont val="Tahoma"/>
            <family val="2"/>
          </rPr>
          <t>BRUNO LOTH:</t>
        </r>
        <r>
          <rPr>
            <sz val="9"/>
            <color indexed="81"/>
            <rFont val="Tahoma"/>
            <family val="2"/>
          </rPr>
          <t xml:space="preserve">
Fin SMA
SMA 2025 = 1 846 792 €</t>
        </r>
      </text>
    </comment>
    <comment ref="G13" authorId="0" shapeId="0" xr:uid="{5C66E496-1A9B-43ED-A08A-866A656F9F4F}">
      <text>
        <r>
          <rPr>
            <b/>
            <sz val="9"/>
            <color indexed="81"/>
            <rFont val="Tahoma"/>
            <family val="2"/>
          </rPr>
          <t>BRUNO LOTH:</t>
        </r>
        <r>
          <rPr>
            <sz val="9"/>
            <color indexed="81"/>
            <rFont val="Tahoma"/>
            <family val="2"/>
          </rPr>
          <t xml:space="preserve">
Pert recettes consultations</t>
        </r>
      </text>
    </comment>
    <comment ref="F17" authorId="1" shapeId="0" xr:uid="{8CB6D871-E40D-4A33-91C6-5388E5DEE362}">
      <text>
        <r>
          <rPr>
            <b/>
            <sz val="9"/>
            <color indexed="81"/>
            <rFont val="Tahoma"/>
            <family val="2"/>
          </rPr>
          <t>Mamadou BARRY:</t>
        </r>
        <r>
          <rPr>
            <sz val="9"/>
            <color indexed="81"/>
            <rFont val="Tahoma"/>
            <family val="2"/>
          </rPr>
          <t xml:space="preserve">
eu regard de 2023 et 2024, les produits de ce groupe ont une tendance à la baisse. Prévoyons une hausse de +1,05%</t>
        </r>
      </text>
    </comment>
    <comment ref="F28" authorId="1" shapeId="0" xr:uid="{2437E924-75A0-4716-945E-C1042D709FE6}">
      <text>
        <r>
          <rPr>
            <b/>
            <sz val="9"/>
            <color indexed="81"/>
            <rFont val="Tahoma"/>
            <family val="2"/>
          </rPr>
          <t>Mamadou BARRY:</t>
        </r>
        <r>
          <rPr>
            <sz val="9"/>
            <color indexed="81"/>
            <rFont val="Tahoma"/>
            <family val="2"/>
          </rPr>
          <t xml:space="preserve">
nous espérons une augmentation de 1,07% des produits de ce groupe au regard de la tendance baissière qui est constatée</t>
        </r>
      </text>
    </comment>
    <comment ref="G35" authorId="0" shapeId="0" xr:uid="{F06D41E0-C1C7-49EC-AC12-5502FD74C1BC}">
      <text>
        <r>
          <rPr>
            <b/>
            <sz val="9"/>
            <color indexed="81"/>
            <rFont val="Tahoma"/>
            <family val="2"/>
          </rPr>
          <t>BRUNO LOTH:</t>
        </r>
        <r>
          <rPr>
            <sz val="9"/>
            <color indexed="81"/>
            <rFont val="Tahoma"/>
            <family val="2"/>
          </rPr>
          <t xml:space="preserve">
Redevance libéraux</t>
        </r>
      </text>
    </comment>
    <comment ref="G37" authorId="0" shapeId="0" xr:uid="{55488D18-7084-437F-8D40-802FC2E670A6}">
      <text>
        <r>
          <rPr>
            <b/>
            <sz val="9"/>
            <color indexed="81"/>
            <rFont val="Tahoma"/>
            <family val="2"/>
          </rPr>
          <t>BRUNO LOTH:</t>
        </r>
        <r>
          <rPr>
            <sz val="9"/>
            <color indexed="81"/>
            <rFont val="Tahoma"/>
            <family val="2"/>
          </rPr>
          <t xml:space="preserve">
Rembpoursement RH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BRUNO LOTH</author>
  </authors>
  <commentList>
    <comment ref="E17" authorId="0" shapeId="0" xr:uid="{8DB5DE6F-16A7-4417-A290-F2723F6BCC31}">
      <text>
        <r>
          <rPr>
            <b/>
            <sz val="9"/>
            <color indexed="81"/>
            <rFont val="Tahoma"/>
            <family val="2"/>
          </rPr>
          <t>BRUNO LOTH:</t>
        </r>
        <r>
          <rPr>
            <sz val="9"/>
            <color indexed="81"/>
            <rFont val="Tahoma"/>
            <family val="2"/>
          </rPr>
          <t xml:space="preserve">
Sauf CNRACL +4%</t>
        </r>
      </text>
    </comment>
    <comment ref="G21" authorId="0" shapeId="0" xr:uid="{5812C2DD-CC81-4D7A-9422-A0286DF9A7FE}">
      <text>
        <r>
          <rPr>
            <b/>
            <sz val="9"/>
            <color indexed="81"/>
            <rFont val="Tahoma"/>
            <family val="2"/>
          </rPr>
          <t>BRUNO LOTH:</t>
        </r>
        <r>
          <rPr>
            <sz val="9"/>
            <color indexed="81"/>
            <rFont val="Tahoma"/>
            <family val="2"/>
          </rPr>
          <t xml:space="preserve">
Paiement actes aux libéraux</t>
        </r>
      </text>
    </comment>
    <comment ref="G41" authorId="0" shapeId="0" xr:uid="{16FF32E6-CEE4-4B2B-A43F-C4B35485A288}">
      <text>
        <r>
          <rPr>
            <b/>
            <sz val="9"/>
            <color indexed="81"/>
            <rFont val="Tahoma"/>
            <family val="2"/>
          </rPr>
          <t>BRUNO LOTH:</t>
        </r>
        <r>
          <rPr>
            <sz val="9"/>
            <color indexed="81"/>
            <rFont val="Tahoma"/>
            <family val="2"/>
          </rPr>
          <t xml:space="preserve">
Remboursement FT ET actes 
=&gt; 765 641,29 € Hospitalisés
=&gt; 2 589 950,27 € Urgences
=&gt; 50% pacs 50 000 €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BRUNO LOTH</author>
  </authors>
  <commentList>
    <comment ref="L34" authorId="0" shapeId="0" xr:uid="{B5947336-217D-4C0B-9900-953E4368FFFC}">
      <text>
        <r>
          <rPr>
            <b/>
            <sz val="9"/>
            <color indexed="81"/>
            <rFont val="Tahoma"/>
            <family val="2"/>
          </rPr>
          <t>BRUNO LOTH:</t>
        </r>
        <r>
          <rPr>
            <sz val="9"/>
            <color indexed="81"/>
            <rFont val="Tahoma"/>
            <family val="2"/>
          </rPr>
          <t xml:space="preserve">
Base 100 patiuenst/ mois * 12 mois * 28 €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Mamadou BARRY</author>
  </authors>
  <commentList>
    <comment ref="E13" authorId="0" shapeId="0" xr:uid="{4CCD3016-AB59-42B7-9312-D9D170663C53}">
      <text>
        <r>
          <rPr>
            <b/>
            <sz val="9"/>
            <color indexed="81"/>
            <rFont val="Tahoma"/>
            <family val="2"/>
          </rPr>
          <t>Mamadou BARRY: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BRUNO LOTH</author>
  </authors>
  <commentList>
    <comment ref="B16" authorId="0" shapeId="0" xr:uid="{D8A40DBD-5707-4CE1-B814-2D58277817EF}">
      <text>
        <r>
          <rPr>
            <b/>
            <sz val="9"/>
            <color indexed="81"/>
            <rFont val="Tahoma"/>
            <family val="2"/>
          </rPr>
          <t>BRUNO LOTH:</t>
        </r>
        <r>
          <rPr>
            <sz val="9"/>
            <color indexed="81"/>
            <rFont val="Tahoma"/>
            <family val="2"/>
          </rPr>
          <t xml:space="preserve">
lAVP (avant projet) 
ACT (assistance contrats de travaux)
</t>
        </r>
      </text>
    </comment>
  </commentList>
</comments>
</file>

<file path=xl/sharedStrings.xml><?xml version="1.0" encoding="utf-8"?>
<sst xmlns="http://schemas.openxmlformats.org/spreadsheetml/2006/main" count="4038" uniqueCount="1193">
  <si>
    <t>CF 2023</t>
  </si>
  <si>
    <t>Titre 1</t>
  </si>
  <si>
    <t xml:space="preserve">Produits versés par l'assurance maladie </t>
  </si>
  <si>
    <t xml:space="preserve">Produits de tarification des séjours MCO </t>
  </si>
  <si>
    <t xml:space="preserve">Produits des médicaments MCO </t>
  </si>
  <si>
    <t xml:space="preserve">Produits des dispositifs médicaux facturés en sus des séjours MCO </t>
  </si>
  <si>
    <t xml:space="preserve">Forfaits et dotations annuels MCO </t>
  </si>
  <si>
    <t xml:space="preserve">Produits du financement des activités de SMR </t>
  </si>
  <si>
    <t xml:space="preserve">Produits du financement des hôpîtaux de proximité </t>
  </si>
  <si>
    <t>Dotations de financement de la psychiatrie</t>
  </si>
  <si>
    <t>Dotations de financement - MCO</t>
  </si>
  <si>
    <t xml:space="preserve">Produits des prestations faisant l'objet d'une tarification spécifique MCO </t>
  </si>
  <si>
    <t xml:space="preserve">Participations au titre des détenus </t>
  </si>
  <si>
    <t xml:space="preserve">Fonds d'intervention régional </t>
  </si>
  <si>
    <t>Produits sur exercices antérieurs à la charge de l'assurance maladie</t>
  </si>
  <si>
    <t>Titre 2</t>
  </si>
  <si>
    <t xml:space="preserve">Autres produits de l'activité hospitalière </t>
  </si>
  <si>
    <t xml:space="preserve">Produits de la tarification en hospitalisation incomplète non prise en charge par l'AM </t>
  </si>
  <si>
    <t>Produits ds prestations faisant l'objet d'une tarification spéciifique non pris en charge par l'AM</t>
  </si>
  <si>
    <t>Forfait journalier MCO</t>
  </si>
  <si>
    <t>Forfait journalier SMR</t>
  </si>
  <si>
    <t>Forfait journalier psychiatrie</t>
  </si>
  <si>
    <t xml:space="preserve">Produits à la charge de l'Etat, collectivités territoriales et autres organismes publics </t>
  </si>
  <si>
    <t>Prestaions effectuées au profit des malades ou consultants d'un autre établissement</t>
  </si>
  <si>
    <t>Titre 3</t>
  </si>
  <si>
    <t>Autres produits</t>
  </si>
  <si>
    <t>Production stockée (ou déstockage)</t>
  </si>
  <si>
    <t>Production immobilisée</t>
  </si>
  <si>
    <t>Autres produits de gestion courante</t>
  </si>
  <si>
    <t>Produits financiers</t>
  </si>
  <si>
    <t>Reprises sur amortissements, dépréciations et provisions</t>
  </si>
  <si>
    <t>3R</t>
  </si>
  <si>
    <t>RRCS2</t>
  </si>
  <si>
    <t xml:space="preserve">Transferts de charges </t>
  </si>
  <si>
    <t xml:space="preserve">Variations des stocks à caractère médical (60311,60321,60322,60371) </t>
  </si>
  <si>
    <t xml:space="preserve">Atténuation de charges - portabilité compte épargne temps CET </t>
  </si>
  <si>
    <t xml:space="preserve">Chapitres </t>
  </si>
  <si>
    <t>Charges à caractère médical</t>
  </si>
  <si>
    <t xml:space="preserve">Charges à caractère hôtelier et général </t>
  </si>
  <si>
    <t xml:space="preserve">Titre 4 </t>
  </si>
  <si>
    <t xml:space="preserve">Personnel extérieur à l'établissement </t>
  </si>
  <si>
    <t>Impôts, taxes et versements asdsimilés sur rémunérations (administration des impôts) sauf 6319</t>
  </si>
  <si>
    <t>Rémunérations du personnel non médical (6411,6413,6415,6419)</t>
  </si>
  <si>
    <t>Personnel titualire et stagiaire</t>
  </si>
  <si>
    <t xml:space="preserve">Personnel sous contrat à durée indéterminée (CDI) </t>
  </si>
  <si>
    <t>Rémunération du personnel médical (sauf 6421,6422,6423,6425 et 6429)</t>
  </si>
  <si>
    <t xml:space="preserve">Praticiens hospitaliers et personnels enseignants et hospitaliuers titulaires </t>
  </si>
  <si>
    <t xml:space="preserve">Praticiens à recrutement contractuels renouvelables de droit </t>
  </si>
  <si>
    <t>Praticiens à recrutement contractuels sans renouvellement de droit et praticiens associés</t>
  </si>
  <si>
    <t>Permance des soins</t>
  </si>
  <si>
    <t>Charges de sécurité sociale et de prévoyance-personnel non médical (sauf 64519)</t>
  </si>
  <si>
    <t>Charges de sécurité sociale et de prévoyance-personnel médical (sdauf 64529)</t>
  </si>
  <si>
    <t>Autres charges sociales - personnel non médical (sauf 64719)</t>
  </si>
  <si>
    <t>Autres charges sociales - personnel médical (sauf 64729)</t>
  </si>
  <si>
    <t>Autres charges de personnel (sauf 6489)</t>
  </si>
  <si>
    <t>RIA 2024</t>
  </si>
  <si>
    <t>EPRD V2</t>
  </si>
  <si>
    <t xml:space="preserve">Achats stockés de matièrse premières ou fournitures à caractère médical ou pharmaceutique </t>
  </si>
  <si>
    <t xml:space="preserve">Produits pharmaceutiques et produits à usdage médical </t>
  </si>
  <si>
    <t xml:space="preserve">Fournitures, produits finis et petit matértiel médical et médico-etchnique </t>
  </si>
  <si>
    <t>Achats de marchandises à caractère médical et pharmaceutique</t>
  </si>
  <si>
    <t>Variation des stocks à casractère médical (60311,60321,60322 et 60371)</t>
  </si>
  <si>
    <t xml:space="preserve">sous -traitance générale </t>
  </si>
  <si>
    <t xml:space="preserve">Locations à caractère médical </t>
  </si>
  <si>
    <t>Entretiens et réparationsr de biens à caractère médical</t>
  </si>
  <si>
    <t xml:space="preserve">Achats stockés de matières premières ou fournitures à caractère hôtelier et général </t>
  </si>
  <si>
    <t>Achats stockés, autres approvisionnements (sauf 6021 et 6022)</t>
  </si>
  <si>
    <t xml:space="preserve">Achats non stockés de matières et fournitures (saufz 6066) </t>
  </si>
  <si>
    <t xml:space="preserve">Achats de marchandises à caractère hôtelier et général </t>
  </si>
  <si>
    <t>Variation de stocks (sauf 60311,60321,60322 et 60371)</t>
  </si>
  <si>
    <t>Services extérieurs (sauf 611,6131,6151 et 619)</t>
  </si>
  <si>
    <t>Autres services extérieurs (sauf 621 et 629)</t>
  </si>
  <si>
    <t>Impôts, taxes et versements assimiléss (sauf 631,6319,63 6339)</t>
  </si>
  <si>
    <t>Autres charges de gestion courante (sauf 653)</t>
  </si>
  <si>
    <t xml:space="preserve">Contributions aux roupements hospitaliers de territoires (GHT) </t>
  </si>
  <si>
    <t xml:space="preserve">Rabais, remises et ristournes accordés par l'établissement </t>
  </si>
  <si>
    <t xml:space="preserve">Production stockés (ou déstockage) </t>
  </si>
  <si>
    <t xml:space="preserve">Charges financières </t>
  </si>
  <si>
    <t xml:space="preserve">Charges exceptionnelles </t>
  </si>
  <si>
    <t>Dotations aux amortissements, dépréciations et provisions</t>
  </si>
  <si>
    <t xml:space="preserve">Impôts sur les bénéfices et assimilés </t>
  </si>
  <si>
    <t xml:space="preserve">Personnel sous contrats à durée déterminée (CDD) </t>
  </si>
  <si>
    <t xml:space="preserve">Fournitures médicales </t>
  </si>
  <si>
    <t>TITRE 3 CHARGES A CARACTERE HOETLIER ET GENERAL</t>
  </si>
  <si>
    <t xml:space="preserve">TITRE 1 CHARGES DE PERSONNEL </t>
  </si>
  <si>
    <t xml:space="preserve">TITRE 2 CHARGES CARACTERE MEDICAL </t>
  </si>
  <si>
    <t>EPRD V2 2025</t>
  </si>
  <si>
    <t>DEPENSES</t>
  </si>
  <si>
    <t xml:space="preserve">TITRE 4 CHARGES AMORTISSEMENTS, DE PROVISIONS ET DEPRECIATIONS FINANCIERES ET EXCEPTIONNELLES </t>
  </si>
  <si>
    <t>Note</t>
  </si>
  <si>
    <t>Impots, taxes et versements assimilés sur rémunérations(autres organismes) (sauf 6339)</t>
  </si>
  <si>
    <t>Intitulés</t>
  </si>
  <si>
    <t>SUIVI DEPENSES</t>
  </si>
  <si>
    <t>Compte 6066 fournitures médicales : baisse oberservée de 91% dans le RIA, alors qu'il est de 7M dans le CF23 et de  8M dans le CFA24.</t>
  </si>
  <si>
    <t>ANAP</t>
  </si>
  <si>
    <t>Réel 2023</t>
  </si>
  <si>
    <t>Charges de personnel</t>
  </si>
  <si>
    <t xml:space="preserve">Produits de la tarification en hospitalisation complète non pris en charge par l'AM </t>
  </si>
  <si>
    <t>Produits de la tarification en hospitaliusation à domicile non pris en charge par l'AM</t>
  </si>
  <si>
    <t xml:space="preserve">Produits des prestatoins de soins délivrées aux patients étrangers, non assurés sociaux en France </t>
  </si>
  <si>
    <t>Vente produits fabriqué serv, march, et prod activités annexes( sauf 7071,7087 et 709)</t>
  </si>
  <si>
    <t>Rétrocession de médicaments</t>
  </si>
  <si>
    <t>Remboursement de frais par les CRPA (activités suivies en comptabilités séparées)</t>
  </si>
  <si>
    <t>Subventions d'exploitation et participations (sauf 7471)</t>
  </si>
  <si>
    <t>Autres variations de stocks (sauf 6023)</t>
  </si>
  <si>
    <t>Rabais, remises et ristournes (609, 619 et 629)</t>
  </si>
  <si>
    <t>TOTAL CHARGES</t>
  </si>
  <si>
    <t>TOTAL PRODUITS</t>
  </si>
  <si>
    <t>Produits exceptionnels (sauf 7722)*</t>
  </si>
  <si>
    <t>*</t>
  </si>
  <si>
    <t xml:space="preserve">Produits de ré-émission de titres suite à l'annulation sur exercices clos </t>
  </si>
  <si>
    <t xml:space="preserve">Produits des cessions d'éléments d'actif </t>
  </si>
  <si>
    <t>Quote-part de subvention d'investissement virée au résultat de l'exercice</t>
  </si>
  <si>
    <t>SUIVI RECETTES</t>
  </si>
  <si>
    <t>Rembouserments sur rémunérations ou charges sociales ou taxes (6319, 6339,6419, 6429, 64519,64529, 64729,6489)</t>
  </si>
  <si>
    <t>RECETTES</t>
  </si>
  <si>
    <t xml:space="preserve">EXERCICE </t>
  </si>
  <si>
    <t>RESULTAT</t>
  </si>
  <si>
    <t>TITRE 1 PRODUITS VERSES PAR L'ASSURANCE MALADIE</t>
  </si>
  <si>
    <t>TITRE 2 AUTRES PRODUITS DE L'ACTIVITE HOSPITALIERE</t>
  </si>
  <si>
    <t>TITRE 3 AUTRES PRODUITS</t>
  </si>
  <si>
    <t>TOTAL</t>
  </si>
  <si>
    <t>EPRD V2 Pre Anap</t>
  </si>
  <si>
    <t xml:space="preserve"> ANAP</t>
  </si>
  <si>
    <t>EPRD Pre Anap</t>
  </si>
  <si>
    <t>Rec Prev</t>
  </si>
  <si>
    <r>
      <rPr>
        <b/>
        <sz val="11"/>
        <color theme="1"/>
        <rFont val="Calibri"/>
        <family val="2"/>
        <scheme val="minor"/>
      </rPr>
      <t>EPRD Pre Anap</t>
    </r>
    <r>
      <rPr>
        <sz val="11"/>
        <color theme="1"/>
        <rFont val="Calibri"/>
        <family val="2"/>
        <scheme val="minor"/>
      </rPr>
      <t xml:space="preserve">: 
Une note de la FHF fait mention d'une hausse en moyenne au niveau national de : 2,09%, 4,6% et 2%, respectivement sur les dépenses du T1, T2 et T3. </t>
    </r>
    <r>
      <rPr>
        <b/>
        <sz val="11"/>
        <color theme="1"/>
        <rFont val="Calibri"/>
        <family val="2"/>
        <scheme val="minor"/>
      </rPr>
      <t>En intégrant cette hausse aux charges du RIA 2024, les dépenses globales baissent de 1,7% par rapport à l'EPRD V1 2025</t>
    </r>
    <r>
      <rPr>
        <sz val="11"/>
        <color theme="1"/>
        <rFont val="Calibri"/>
        <family val="2"/>
        <scheme val="minor"/>
      </rPr>
      <t>.</t>
    </r>
  </si>
  <si>
    <r>
      <rPr>
        <b/>
        <sz val="11"/>
        <color theme="1"/>
        <rFont val="Calibri"/>
        <family val="2"/>
        <scheme val="minor"/>
      </rPr>
      <t>EPRD Pre Anap</t>
    </r>
    <r>
      <rPr>
        <sz val="11"/>
        <color theme="1"/>
        <rFont val="Calibri"/>
        <family val="2"/>
        <scheme val="minor"/>
      </rPr>
      <t xml:space="preserve">:
Le Projet de loi de financement de la sécurité sociale 2025,  est examiné et adopté par le sénat pour une promulgation à une date ultérieure. Il en sort un Objectif national des dépenses de l'assurance maladie (Ondam) à 3,4%. </t>
    </r>
    <r>
      <rPr>
        <b/>
        <sz val="11"/>
        <color theme="1"/>
        <rFont val="Calibri"/>
        <family val="2"/>
        <scheme val="minor"/>
      </rPr>
      <t>En intégrant cette hausse aux produits versés par l'AM du RIA, ce groupe de produit augmente de 3,39%. Il est observé une tendance baissière pour les produits du T2. C'est pourquoi nous espérons une hausse de 1,05% sur ce groupe de produit. Enfin, nous constatons une forte baisse des produits du T3</t>
    </r>
    <r>
      <rPr>
        <sz val="11"/>
        <color theme="1"/>
        <rFont val="Calibri"/>
        <family val="2"/>
        <scheme val="minor"/>
      </rPr>
      <t xml:space="preserve">. </t>
    </r>
    <r>
      <rPr>
        <b/>
        <sz val="11"/>
        <color theme="1"/>
        <rFont val="Calibri"/>
        <family val="2"/>
        <scheme val="minor"/>
      </rPr>
      <t>C'est pourquoi nous estimons une hausse de 1,07% en prévision 2025.</t>
    </r>
  </si>
  <si>
    <t>Remarque</t>
  </si>
  <si>
    <t>NB</t>
  </si>
  <si>
    <t>Taux FHF</t>
  </si>
  <si>
    <t>Mesures nouvelles</t>
  </si>
  <si>
    <t>DSI</t>
  </si>
  <si>
    <r>
      <rPr>
        <b/>
        <sz val="11"/>
        <color theme="1"/>
        <rFont val="Calibri"/>
        <family val="2"/>
        <scheme val="minor"/>
      </rPr>
      <t>EPRD Pre Anap</t>
    </r>
    <r>
      <rPr>
        <sz val="11"/>
        <color theme="1"/>
        <rFont val="Calibri"/>
        <family val="2"/>
        <scheme val="minor"/>
      </rPr>
      <t xml:space="preserve">: 
Dans la mesure que les hypothèses formulées sont retenues, nous proposons un déficit, avant intégration des préconisations ANAP de -13 M €. </t>
    </r>
    <r>
      <rPr>
        <b/>
        <sz val="11"/>
        <color theme="1"/>
        <rFont val="Calibri"/>
        <family val="2"/>
        <scheme val="minor"/>
      </rPr>
      <t>Le déficit proposé baisse de 10% par rapport à 2023, de 2,7% par rapport au RIA 2024 et 44% par rapport à l'EPRD V1 2025.</t>
    </r>
  </si>
  <si>
    <t>MESURES NOUVELLES - DEPENSES</t>
  </si>
  <si>
    <t>MESURES NOUVELLES - RECETTES</t>
  </si>
  <si>
    <t>Direction demandeur</t>
  </si>
  <si>
    <t>Objet</t>
  </si>
  <si>
    <t>Poste</t>
  </si>
  <si>
    <t>Charges RH</t>
  </si>
  <si>
    <t>Source</t>
  </si>
  <si>
    <t>DDS</t>
  </si>
  <si>
    <t>Médecin</t>
  </si>
  <si>
    <t>Addictologie - ELSA</t>
  </si>
  <si>
    <t>FIR</t>
  </si>
  <si>
    <t>Psychologue</t>
  </si>
  <si>
    <t>DALT/DDS/DAM</t>
  </si>
  <si>
    <t>UAPED</t>
  </si>
  <si>
    <t>Gynéco</t>
  </si>
  <si>
    <t>Ortho</t>
  </si>
  <si>
    <t>TITAN</t>
  </si>
  <si>
    <t>PPH</t>
  </si>
  <si>
    <t>Chimio</t>
  </si>
  <si>
    <t>Oncologie</t>
  </si>
  <si>
    <t>IPA</t>
  </si>
  <si>
    <t>RAC Chir</t>
  </si>
  <si>
    <t>Chir ortho</t>
  </si>
  <si>
    <t xml:space="preserve">TH </t>
  </si>
  <si>
    <t>Direction</t>
  </si>
  <si>
    <t>Directrice Stag</t>
  </si>
  <si>
    <t>DAF</t>
  </si>
  <si>
    <t>Finances</t>
  </si>
  <si>
    <t xml:space="preserve">Stagiaire </t>
  </si>
  <si>
    <t>Continuum</t>
  </si>
  <si>
    <t>CPAM</t>
  </si>
  <si>
    <t>DALT</t>
  </si>
  <si>
    <t>Schema immobilier</t>
  </si>
  <si>
    <t>Acc. Étude Chapelle (promotion/vente)</t>
  </si>
  <si>
    <t>TOTAL depenses</t>
  </si>
  <si>
    <t>TOTAL recettes</t>
  </si>
  <si>
    <t>DT1</t>
  </si>
  <si>
    <t>DT2</t>
  </si>
  <si>
    <t>DT3</t>
  </si>
  <si>
    <t>RT1</t>
  </si>
  <si>
    <t>RT2</t>
  </si>
  <si>
    <t>RT3</t>
  </si>
  <si>
    <t>Dot aux Amort., Prov. et Dépréciations, fi. et excep.</t>
  </si>
  <si>
    <t>Valorisation T2A HdJ Médecine</t>
  </si>
  <si>
    <t>GCS Imagerie</t>
  </si>
  <si>
    <t>Effet prix</t>
  </si>
  <si>
    <t>Mandat</t>
  </si>
  <si>
    <t>Etat (PES Retour)</t>
  </si>
  <si>
    <t>Bordereau</t>
  </si>
  <si>
    <t>Fournisseur</t>
  </si>
  <si>
    <t>Montant TTC</t>
  </si>
  <si>
    <t>Montant TVA récupérable</t>
  </si>
  <si>
    <t>Type</t>
  </si>
  <si>
    <t>Nature</t>
  </si>
  <si>
    <t>Date mandatement</t>
  </si>
  <si>
    <t>Date prévisionnelle paiement</t>
  </si>
  <si>
    <t>Date paiement</t>
  </si>
  <si>
    <t>Mandat associé</t>
  </si>
  <si>
    <t>R</t>
  </si>
  <si>
    <t>Etat</t>
  </si>
  <si>
    <t>Somme de Montant TTC</t>
  </si>
  <si>
    <t>100968</t>
  </si>
  <si>
    <t>003873 - Dr JORROT</t>
  </si>
  <si>
    <t>01 - Mandat ordinaire</t>
  </si>
  <si>
    <t>01 - Fonctionnement</t>
  </si>
  <si>
    <t>27/02/2024</t>
  </si>
  <si>
    <t/>
  </si>
  <si>
    <t>02/04/2024</t>
  </si>
  <si>
    <t>Non</t>
  </si>
  <si>
    <t>Payé</t>
  </si>
  <si>
    <t>Total</t>
  </si>
  <si>
    <t>102478</t>
  </si>
  <si>
    <t>22/03/2024</t>
  </si>
  <si>
    <t>107542</t>
  </si>
  <si>
    <t>21/05/2024</t>
  </si>
  <si>
    <t>31/05/2024</t>
  </si>
  <si>
    <t>003909 - DR KUTSAROV</t>
  </si>
  <si>
    <t>110008</t>
  </si>
  <si>
    <t>14/06/2024</t>
  </si>
  <si>
    <t>02/07/2024</t>
  </si>
  <si>
    <t>004324 - SELAS DOCTEUR BERRAF</t>
  </si>
  <si>
    <t>110009</t>
  </si>
  <si>
    <t>004401 - DR KERNANE</t>
  </si>
  <si>
    <t>111888</t>
  </si>
  <si>
    <t>11/07/2024</t>
  </si>
  <si>
    <t>16/07/2024</t>
  </si>
  <si>
    <t>004449 - RJOB</t>
  </si>
  <si>
    <t>115731</t>
  </si>
  <si>
    <t>28/08/2024</t>
  </si>
  <si>
    <t>11/09/2024</t>
  </si>
  <si>
    <t>012363 - FERY JEAN CHRISTOPHE</t>
  </si>
  <si>
    <t>117897</t>
  </si>
  <si>
    <t>25/09/2024</t>
  </si>
  <si>
    <t>08/10/2024</t>
  </si>
  <si>
    <t>Total général</t>
  </si>
  <si>
    <t>122909</t>
  </si>
  <si>
    <t>19/11/2024</t>
  </si>
  <si>
    <t>03/12/2024</t>
  </si>
  <si>
    <t>126452</t>
  </si>
  <si>
    <t>10/01/2025</t>
  </si>
  <si>
    <t>20/01/2025</t>
  </si>
  <si>
    <t>126453</t>
  </si>
  <si>
    <t>126454</t>
  </si>
  <si>
    <t>100153</t>
  </si>
  <si>
    <t>12/02/2024</t>
  </si>
  <si>
    <t>16/02/2024</t>
  </si>
  <si>
    <t>102479</t>
  </si>
  <si>
    <t>105076</t>
  </si>
  <si>
    <t>22/04/2024</t>
  </si>
  <si>
    <t>29/04/2024</t>
  </si>
  <si>
    <t>110012</t>
  </si>
  <si>
    <t>111191</t>
  </si>
  <si>
    <t>04/07/2024</t>
  </si>
  <si>
    <t>117380</t>
  </si>
  <si>
    <t>13/09/2024</t>
  </si>
  <si>
    <t>26/09/2024</t>
  </si>
  <si>
    <t>117382</t>
  </si>
  <si>
    <t>117898</t>
  </si>
  <si>
    <t>122908</t>
  </si>
  <si>
    <t>18/11/2024</t>
  </si>
  <si>
    <t>25/11/2024</t>
  </si>
  <si>
    <t>122911</t>
  </si>
  <si>
    <t>124467</t>
  </si>
  <si>
    <t>13/12/2024</t>
  </si>
  <si>
    <t>23/12/2024</t>
  </si>
  <si>
    <t>127354</t>
  </si>
  <si>
    <t>23/01/2025</t>
  </si>
  <si>
    <t>11/02/2025</t>
  </si>
  <si>
    <t>100531</t>
  </si>
  <si>
    <t>19/02/2024</t>
  </si>
  <si>
    <t>23/02/2024</t>
  </si>
  <si>
    <t>102480</t>
  </si>
  <si>
    <t>106277</t>
  </si>
  <si>
    <t>03/05/2024</t>
  </si>
  <si>
    <t>22/05/2024</t>
  </si>
  <si>
    <t>110011</t>
  </si>
  <si>
    <t>01/07/2024</t>
  </si>
  <si>
    <t>111878</t>
  </si>
  <si>
    <t>09/07/2024</t>
  </si>
  <si>
    <t>117381</t>
  </si>
  <si>
    <t>120241</t>
  </si>
  <si>
    <t>23/10/2024</t>
  </si>
  <si>
    <t>07/11/2024</t>
  </si>
  <si>
    <t>123938</t>
  </si>
  <si>
    <t>10/12/2024</t>
  </si>
  <si>
    <t>24/12/2024</t>
  </si>
  <si>
    <t>123940</t>
  </si>
  <si>
    <t>127575</t>
  </si>
  <si>
    <t>27/01/2025</t>
  </si>
  <si>
    <t>18/02/2025</t>
  </si>
  <si>
    <t>100969</t>
  </si>
  <si>
    <t>102481</t>
  </si>
  <si>
    <t>106278</t>
  </si>
  <si>
    <t>108935</t>
  </si>
  <si>
    <t>111879</t>
  </si>
  <si>
    <t>111880</t>
  </si>
  <si>
    <t>115732</t>
  </si>
  <si>
    <t>117377</t>
  </si>
  <si>
    <t>100154</t>
  </si>
  <si>
    <t>100532</t>
  </si>
  <si>
    <t>102482</t>
  </si>
  <si>
    <t>105075</t>
  </si>
  <si>
    <t>108936</t>
  </si>
  <si>
    <t>05/06/2024</t>
  </si>
  <si>
    <t>27/06/2024</t>
  </si>
  <si>
    <t>111881</t>
  </si>
  <si>
    <t>115733</t>
  </si>
  <si>
    <t>117378</t>
  </si>
  <si>
    <t>120238</t>
  </si>
  <si>
    <t>18/10/2024</t>
  </si>
  <si>
    <t>24/10/2024</t>
  </si>
  <si>
    <t>122348</t>
  </si>
  <si>
    <t>12/11/2024</t>
  </si>
  <si>
    <t>26/11/2024</t>
  </si>
  <si>
    <t>123939</t>
  </si>
  <si>
    <t>126526</t>
  </si>
  <si>
    <t>15/01/2025</t>
  </si>
  <si>
    <t>14/02/2025</t>
  </si>
  <si>
    <t>100155</t>
  </si>
  <si>
    <t>102483</t>
  </si>
  <si>
    <t>03/04/2024</t>
  </si>
  <si>
    <t>107543</t>
  </si>
  <si>
    <t>107544</t>
  </si>
  <si>
    <t>110010</t>
  </si>
  <si>
    <t>113252</t>
  </si>
  <si>
    <t>22/07/2024</t>
  </si>
  <si>
    <t>25/07/2024</t>
  </si>
  <si>
    <t>115734</t>
  </si>
  <si>
    <t>117379</t>
  </si>
  <si>
    <t>120242</t>
  </si>
  <si>
    <t>122910</t>
  </si>
  <si>
    <t>124586</t>
  </si>
  <si>
    <t>17/12/2024</t>
  </si>
  <si>
    <t>126455</t>
  </si>
  <si>
    <t>Titre</t>
  </si>
  <si>
    <t>Débiteur</t>
  </si>
  <si>
    <t>Type de titre</t>
  </si>
  <si>
    <t>Nature de titre</t>
  </si>
  <si>
    <t>Date émission</t>
  </si>
  <si>
    <t>Date extraction</t>
  </si>
  <si>
    <t>Date recette</t>
  </si>
  <si>
    <t>Montant HT</t>
  </si>
  <si>
    <t>Montant TVA</t>
  </si>
  <si>
    <t>Soldé</t>
  </si>
  <si>
    <t>Edité</t>
  </si>
  <si>
    <t>27830</t>
  </si>
  <si>
    <t>2004</t>
  </si>
  <si>
    <t>001288 - FERY</t>
  </si>
  <si>
    <t>01 - Titre ordinaire</t>
  </si>
  <si>
    <t>Emission</t>
  </si>
  <si>
    <t>27831</t>
  </si>
  <si>
    <t>006553 - KUTSAROV</t>
  </si>
  <si>
    <t>27832</t>
  </si>
  <si>
    <t>007506 - RJOB</t>
  </si>
  <si>
    <t>006438 - JORROT</t>
  </si>
  <si>
    <t>28449</t>
  </si>
  <si>
    <t>2014</t>
  </si>
  <si>
    <t>007371 - SELAS DOCTEUR BERRAF</t>
  </si>
  <si>
    <t>28450</t>
  </si>
  <si>
    <t>38892</t>
  </si>
  <si>
    <t>2032</t>
  </si>
  <si>
    <t>007487 - DR KERNANE</t>
  </si>
  <si>
    <t>38893</t>
  </si>
  <si>
    <t>56706</t>
  </si>
  <si>
    <t>2059</t>
  </si>
  <si>
    <t>21/03/2024</t>
  </si>
  <si>
    <t>56707</t>
  </si>
  <si>
    <t>56708</t>
  </si>
  <si>
    <t>56709</t>
  </si>
  <si>
    <t>56710</t>
  </si>
  <si>
    <t>56711</t>
  </si>
  <si>
    <t>62260</t>
  </si>
  <si>
    <t>2077</t>
  </si>
  <si>
    <t>12/04/2024</t>
  </si>
  <si>
    <t>62261</t>
  </si>
  <si>
    <t>70923</t>
  </si>
  <si>
    <t>2092</t>
  </si>
  <si>
    <t>70924</t>
  </si>
  <si>
    <t>82497</t>
  </si>
  <si>
    <t>2113</t>
  </si>
  <si>
    <t>17/05/2024</t>
  </si>
  <si>
    <t>82498</t>
  </si>
  <si>
    <t>82499</t>
  </si>
  <si>
    <t>99447</t>
  </si>
  <si>
    <t>2138</t>
  </si>
  <si>
    <t>99462</t>
  </si>
  <si>
    <t>2141</t>
  </si>
  <si>
    <t>112187</t>
  </si>
  <si>
    <t>2162</t>
  </si>
  <si>
    <t>112188</t>
  </si>
  <si>
    <t>112189</t>
  </si>
  <si>
    <t>112190</t>
  </si>
  <si>
    <t>112191</t>
  </si>
  <si>
    <t>133248</t>
  </si>
  <si>
    <t>2194</t>
  </si>
  <si>
    <t>08/07/2024</t>
  </si>
  <si>
    <t>133249</t>
  </si>
  <si>
    <t>133250</t>
  </si>
  <si>
    <t>133251</t>
  </si>
  <si>
    <t>133252</t>
  </si>
  <si>
    <t>133740</t>
  </si>
  <si>
    <t>2204</t>
  </si>
  <si>
    <t>144641</t>
  </si>
  <si>
    <t>2228</t>
  </si>
  <si>
    <t>162837</t>
  </si>
  <si>
    <t>2259</t>
  </si>
  <si>
    <t>26/08/2024</t>
  </si>
  <si>
    <t>162838</t>
  </si>
  <si>
    <t>163387</t>
  </si>
  <si>
    <t>2263</t>
  </si>
  <si>
    <t>163388</t>
  </si>
  <si>
    <t>173602</t>
  </si>
  <si>
    <t>2281</t>
  </si>
  <si>
    <t>173603</t>
  </si>
  <si>
    <t>173604</t>
  </si>
  <si>
    <t>173605</t>
  </si>
  <si>
    <t>173606</t>
  </si>
  <si>
    <t>173607</t>
  </si>
  <si>
    <t>181417</t>
  </si>
  <si>
    <t>2293</t>
  </si>
  <si>
    <t>181418</t>
  </si>
  <si>
    <t>192901</t>
  </si>
  <si>
    <t>2328</t>
  </si>
  <si>
    <t>192917</t>
  </si>
  <si>
    <t>2331</t>
  </si>
  <si>
    <t>22/10/2024</t>
  </si>
  <si>
    <t>192918</t>
  </si>
  <si>
    <t>202738</t>
  </si>
  <si>
    <t>2350</t>
  </si>
  <si>
    <t>215356</t>
  </si>
  <si>
    <t>2363</t>
  </si>
  <si>
    <t>215357</t>
  </si>
  <si>
    <t>2364</t>
  </si>
  <si>
    <t>215358</t>
  </si>
  <si>
    <t>215359</t>
  </si>
  <si>
    <t>236780</t>
  </si>
  <si>
    <t>2394</t>
  </si>
  <si>
    <t>236781</t>
  </si>
  <si>
    <t>236782</t>
  </si>
  <si>
    <t>236803</t>
  </si>
  <si>
    <t>2399</t>
  </si>
  <si>
    <t>236805</t>
  </si>
  <si>
    <t>2400</t>
  </si>
  <si>
    <t>257444</t>
  </si>
  <si>
    <t>2434</t>
  </si>
  <si>
    <t>31/12/2024</t>
  </si>
  <si>
    <t>257445</t>
  </si>
  <si>
    <t>257446</t>
  </si>
  <si>
    <t>257447</t>
  </si>
  <si>
    <t>258789</t>
  </si>
  <si>
    <t>2441</t>
  </si>
  <si>
    <t>267588</t>
  </si>
  <si>
    <t>2459</t>
  </si>
  <si>
    <t>271642</t>
  </si>
  <si>
    <t>2472</t>
  </si>
  <si>
    <t>GCS Imagerie au 1° mars</t>
  </si>
  <si>
    <t>Total ex-ANAP</t>
  </si>
  <si>
    <t>EPRD ex-Anap</t>
  </si>
  <si>
    <t>TITRE 2 : CHARGES D’EXPLOITATION COURANTE ET A CARACTÈRE MEDICAL</t>
  </si>
  <si>
    <t>TITRE 3 : CHARGES AFFÉRENTES A LA STRUCTURE</t>
  </si>
  <si>
    <t>TITRE 1 : PRODUITS DE LA TARIFICATION</t>
  </si>
  <si>
    <t>TITRE 2 : AUTRES PRODUITS D’EXPLOITATION</t>
  </si>
  <si>
    <t>TITRE 3 : AUTRES PRODUITS</t>
  </si>
  <si>
    <t>- dont 736 Tarifs soins</t>
  </si>
  <si>
    <t>- dont 7327 Tarif hébergement</t>
  </si>
  <si>
    <t>- dont 734 Tarifs dépendance</t>
  </si>
  <si>
    <t>Korian</t>
  </si>
  <si>
    <t>INISEA</t>
  </si>
  <si>
    <t>ETP</t>
  </si>
  <si>
    <t>Brut annuel</t>
  </si>
  <si>
    <t>Résultat MN</t>
  </si>
  <si>
    <t>IDE</t>
  </si>
  <si>
    <t>AS</t>
  </si>
  <si>
    <t>Méd. pédiatre</t>
  </si>
  <si>
    <t>Méd. légiste</t>
  </si>
  <si>
    <t>Sec médicale</t>
  </si>
  <si>
    <t>Cadre de santé</t>
  </si>
  <si>
    <t>AMA</t>
  </si>
  <si>
    <t>RefacturationCH Joigny</t>
  </si>
  <si>
    <t>Total RH</t>
  </si>
  <si>
    <r>
      <t xml:space="preserve">Charges d'exploitation </t>
    </r>
    <r>
      <rPr>
        <b/>
        <sz val="9"/>
        <rFont val="Calibri"/>
        <family val="2"/>
        <scheme val="minor"/>
      </rPr>
      <t>(estimation 22% de la recette)</t>
    </r>
  </si>
  <si>
    <t>TOTAL RECETTES</t>
  </si>
  <si>
    <t>TOTAL SANITAIRE</t>
  </si>
  <si>
    <t>TOTAL MEDICO-SOCIAL</t>
  </si>
  <si>
    <t>TOTAL SERVICES SUPPORT</t>
  </si>
  <si>
    <t>TOTAL SERVICES SUPPORTS</t>
  </si>
  <si>
    <t>TOTAL MEDICOOCIAL SOCIAL</t>
  </si>
  <si>
    <t>Opérations courantes</t>
  </si>
  <si>
    <t>Autres oépérations de travaux CH</t>
  </si>
  <si>
    <t>Autres équipements médicaux CH</t>
  </si>
  <si>
    <t>Autres équipements non médicaux CH</t>
  </si>
  <si>
    <t>Autres opératoins de systèmes d'information CH</t>
  </si>
  <si>
    <t>Opérations courantes ESMS</t>
  </si>
  <si>
    <t>Opérations majeures</t>
  </si>
  <si>
    <t>Site VSY - Résidence Carnot -  Rélévé topographique</t>
  </si>
  <si>
    <t>Site VSY - Résidence Carnot - Honoraires des prestataires</t>
  </si>
  <si>
    <t>Site VSY  - Résidence Rives d'Yonne - Renovation 20 chambres</t>
  </si>
  <si>
    <t>Site Sens - Résidence Etoile - Honoraires des prestataires</t>
  </si>
  <si>
    <t>Travaux IFMS</t>
  </si>
  <si>
    <t>DSI - IAM report 2024 (commande passée) - Budget G</t>
  </si>
  <si>
    <t>France relance</t>
  </si>
  <si>
    <t>FMIS 21022</t>
  </si>
  <si>
    <t>HDJ Oncologie 01/04/2026</t>
  </si>
  <si>
    <t>Valorisation T2A HdJ Oncologie</t>
  </si>
  <si>
    <t>HDJ Médecine 01/01/2025 4 premier lits</t>
  </si>
  <si>
    <t>HDJ Médecine 01/04/2025 les 4 lits suivants avec augmentation de l'amplitude horaire</t>
  </si>
  <si>
    <t>cadre de santé</t>
  </si>
  <si>
    <t>ASH</t>
  </si>
  <si>
    <t>HDJ autres 01/01/2025</t>
  </si>
  <si>
    <t>HDJ autres 01/04/2025</t>
  </si>
  <si>
    <t>Heure sup  vesr 500K€  soit 380K€ d'économie</t>
  </si>
  <si>
    <t>sur les CDD éco de 320 K€</t>
  </si>
  <si>
    <t>DSI - Déploiement TITAN (logiciel + matériel) - Budget H</t>
  </si>
  <si>
    <t>-&gt; reversment subvention investissement aux 9 sites hors GHT</t>
  </si>
  <si>
    <t>-&gt; reversement subvention investissement Joigny</t>
  </si>
  <si>
    <t>-&gt; équipement Ehpad Sens</t>
  </si>
  <si>
    <t>Reports 2024</t>
  </si>
  <si>
    <t>Section investissement</t>
  </si>
  <si>
    <t>#13 Sub Inv</t>
  </si>
  <si>
    <t>#205 Acquisition Logiciel+formation</t>
  </si>
  <si>
    <t>Section exploitation</t>
  </si>
  <si>
    <t>#65 Reversement subvention</t>
  </si>
  <si>
    <t>-&gt; Remboursement AMOA 9 sites</t>
  </si>
  <si>
    <t>#64 Charges de personnel</t>
  </si>
  <si>
    <t>-&gt; Recrutement chef de projet 12 mois</t>
  </si>
  <si>
    <t>#62 Services extérieurs</t>
  </si>
  <si>
    <t>-&gt; Accompagnement P2M</t>
  </si>
  <si>
    <t>-&gt; AMOA Marchés</t>
  </si>
  <si>
    <t>TOTAL PROJET TITAN</t>
  </si>
  <si>
    <t>Appe à projet ESMS Numérique</t>
  </si>
  <si>
    <t>-&gt; reversement subvention investissement aux 9 sites hors GHT</t>
  </si>
  <si>
    <t>ARS</t>
  </si>
  <si>
    <t>Refonte site Internet</t>
  </si>
  <si>
    <t>TOTAL PROG INV 2025</t>
  </si>
  <si>
    <t>ARS  Maitrise d'œuvre</t>
  </si>
  <si>
    <t>Ségur - Article 50 - Projets structurants - Tranche 1 Sens</t>
  </si>
  <si>
    <t>Ségur - Article 50 - Restauration des capacités financières Sens</t>
  </si>
  <si>
    <t>Ségur - Article 50 - Restauration des capacités financières VSY</t>
  </si>
  <si>
    <t>CRBFC</t>
  </si>
  <si>
    <t>Site Sens - Travaux de la Chapelle - AVP à ACT</t>
  </si>
  <si>
    <t>Coût de l’opération - 930 K€ TDC compris travaux préalables (tranche ferme)</t>
  </si>
  <si>
    <t>ARS – BFC</t>
  </si>
  <si>
    <t>200 K€</t>
  </si>
  <si>
    <t xml:space="preserve">Fondation du patrimoine </t>
  </si>
  <si>
    <t>280 K€</t>
  </si>
  <si>
    <t xml:space="preserve">DRAC </t>
  </si>
  <si>
    <t xml:space="preserve">Loto </t>
  </si>
  <si>
    <t>Total subvention</t>
  </si>
  <si>
    <t>543 K€</t>
  </si>
  <si>
    <t xml:space="preserve">Financement CH : </t>
  </si>
  <si>
    <t xml:space="preserve"> 387 K€ </t>
  </si>
  <si>
    <t>Phases Etudes 7,5 mois de l’AVP (avant projet) à ACT (assistance contrats de travaux)</t>
  </si>
  <si>
    <t>Phases Travaux 8 mois ont 1 de préparation</t>
  </si>
  <si>
    <t xml:space="preserve">23 K€ </t>
  </si>
  <si>
    <t>pour le diagnostic</t>
  </si>
  <si>
    <t>30 K€</t>
  </si>
  <si>
    <t xml:space="preserve"> (50% des honoraires de la phase études AVP-PRO-ACT) </t>
  </si>
  <si>
    <t>10 K€</t>
  </si>
  <si>
    <t xml:space="preserve"> (hypothèse)</t>
  </si>
  <si>
    <t>Calendrier de l’opération</t>
  </si>
  <si>
    <t>AVP-PRO-ACT</t>
  </si>
  <si>
    <t>Diagnostic</t>
  </si>
  <si>
    <t>Travaux</t>
  </si>
  <si>
    <t>DRAC</t>
  </si>
  <si>
    <t>ARS-BFC</t>
  </si>
  <si>
    <t>Fondation du patrimoine</t>
  </si>
  <si>
    <t>Loto</t>
  </si>
  <si>
    <t>Solde à la charge du CH</t>
  </si>
  <si>
    <r>
      <t>Ø</t>
    </r>
    <r>
      <rPr>
        <i/>
        <sz val="11"/>
        <rFont val="Calibri"/>
        <family val="2"/>
        <scheme val="minor"/>
      </rPr>
      <t>De février 2025 à décembre 2025</t>
    </r>
  </si>
  <si>
    <r>
      <t>Ø</t>
    </r>
    <r>
      <rPr>
        <i/>
        <sz val="11"/>
        <rFont val="Calibri"/>
        <family val="2"/>
        <scheme val="minor"/>
      </rPr>
      <t>De janvier 2026 à septembre 2026</t>
    </r>
  </si>
  <si>
    <t>Appel à projet ESMS Numérique</t>
  </si>
  <si>
    <t>Dépenses</t>
  </si>
  <si>
    <t>Le CH ne paiera plus directement les actes des médecins libéraux quiintervienennt en imagerie</t>
  </si>
  <si>
    <t>Le CH ne perçoit plus les FT et actes des consultations</t>
  </si>
  <si>
    <t>Le CH reversera au GCS les forfaits techniques et cates perçus au titre des patients</t>
  </si>
  <si>
    <t>Le CH perçoit le remboursement de la mise à disposiotn des agents au GCS</t>
  </si>
  <si>
    <t>-&gt; hospitalisés</t>
  </si>
  <si>
    <t>- urgences</t>
  </si>
  <si>
    <t>TOTAL DEPENSES</t>
  </si>
  <si>
    <t>Enfin, le CH contribuera au financement à hauteur de 50% le PACS</t>
  </si>
  <si>
    <t>Les chiffres indiqués reposent sur un démarrage effectif au 1° mars 2025</t>
  </si>
  <si>
    <t>Chef de projet</t>
  </si>
  <si>
    <t>Communication</t>
  </si>
  <si>
    <t>Programmation 2025</t>
  </si>
  <si>
    <t>Neuropsy</t>
  </si>
  <si>
    <t>Ergonome</t>
  </si>
  <si>
    <t>Diététicien</t>
  </si>
  <si>
    <t>Assistante sociale</t>
  </si>
  <si>
    <t>DGA</t>
  </si>
  <si>
    <t>Valorisation T2A HDJ Gériatrique</t>
  </si>
  <si>
    <t>HDJ Gériatrique à compter 1 juillet  2025 (augmentation capacitaire)</t>
  </si>
  <si>
    <t>EPRD 2025 V3 MESURES NOUVELLES 14 mars 2025</t>
  </si>
  <si>
    <t>CNRACL 2024</t>
  </si>
  <si>
    <t>+2,1%</t>
  </si>
  <si>
    <t>+4%</t>
  </si>
  <si>
    <t>Remboursements emprunts</t>
  </si>
  <si>
    <r>
      <rPr>
        <sz val="10"/>
        <rFont val="Arial MT"/>
        <family val="2"/>
      </rPr>
      <t xml:space="preserve">GEF - GEF                                                                                                                                                                                                                                              19/03/25 16:07
</t>
    </r>
    <r>
      <rPr>
        <sz val="10"/>
        <rFont val="Arial MT"/>
        <family val="2"/>
      </rPr>
      <t>Interrogation des commandes - choix des lignes</t>
    </r>
  </si>
  <si>
    <r>
      <rPr>
        <sz val="10"/>
        <rFont val="Arial MT"/>
        <family val="2"/>
      </rPr>
      <t xml:space="preserve">Type : Tous
</t>
    </r>
    <r>
      <rPr>
        <sz val="10"/>
        <rFont val="Arial MT"/>
        <family val="2"/>
      </rPr>
      <t>Date engagement : 01/01/2025 au 01/01/2025 Projet : Tous</t>
    </r>
  </si>
  <si>
    <r>
      <rPr>
        <sz val="8"/>
        <color rgb="FF878787"/>
        <rFont val="Arial MT"/>
        <family val="2"/>
      </rPr>
      <t>N° cde. Lg/Niv.</t>
    </r>
  </si>
  <si>
    <r>
      <rPr>
        <sz val="8"/>
        <color rgb="FF878787"/>
        <rFont val="Arial MT"/>
        <family val="2"/>
      </rPr>
      <t>Etat</t>
    </r>
  </si>
  <si>
    <r>
      <rPr>
        <sz val="8"/>
        <color rgb="FF878787"/>
        <rFont val="Arial MT"/>
        <family val="2"/>
      </rPr>
      <t>Libellé fournisseur</t>
    </r>
  </si>
  <si>
    <r>
      <rPr>
        <sz val="8"/>
        <color rgb="FF878787"/>
        <rFont val="Arial MT"/>
        <family val="2"/>
      </rPr>
      <t>Marché</t>
    </r>
  </si>
  <si>
    <r>
      <rPr>
        <sz val="8"/>
        <color rgb="FF878787"/>
        <rFont val="Arial MT"/>
        <family val="2"/>
      </rPr>
      <t>UF</t>
    </r>
  </si>
  <si>
    <r>
      <rPr>
        <sz val="8"/>
        <color rgb="FF878787"/>
        <rFont val="Arial MT"/>
        <family val="2"/>
      </rPr>
      <t>Ach.</t>
    </r>
  </si>
  <si>
    <r>
      <rPr>
        <sz val="8"/>
        <color rgb="FF878787"/>
        <rFont val="Arial MT"/>
        <family val="2"/>
      </rPr>
      <t>Produit / Prestation</t>
    </r>
  </si>
  <si>
    <r>
      <rPr>
        <sz val="8"/>
        <color rgb="FF878787"/>
        <rFont val="Arial MT"/>
        <family val="2"/>
      </rPr>
      <t>Compte</t>
    </r>
  </si>
  <si>
    <r>
      <rPr>
        <sz val="8"/>
        <color rgb="FF878787"/>
        <rFont val="Arial MT"/>
        <family val="2"/>
      </rPr>
      <t>Cat. hom.</t>
    </r>
  </si>
  <si>
    <r>
      <rPr>
        <sz val="8"/>
        <color rgb="FF878787"/>
        <rFont val="Arial MT"/>
        <family val="2"/>
      </rPr>
      <t>Qté. init. (G)</t>
    </r>
  </si>
  <si>
    <r>
      <rPr>
        <sz val="8"/>
        <color rgb="FF878787"/>
        <rFont val="Arial MT"/>
        <family val="2"/>
      </rPr>
      <t>Qté. cdée (G)</t>
    </r>
  </si>
  <si>
    <r>
      <rPr>
        <sz val="8"/>
        <color rgb="FF878787"/>
        <rFont val="Arial MT"/>
        <family val="2"/>
      </rPr>
      <t>Mtt. TTC</t>
    </r>
  </si>
  <si>
    <r>
      <rPr>
        <sz val="8"/>
        <color rgb="FF878787"/>
        <rFont val="Arial MT"/>
        <family val="2"/>
      </rPr>
      <t>Date eng.</t>
    </r>
  </si>
  <si>
    <r>
      <rPr>
        <sz val="8"/>
        <color rgb="FF878787"/>
        <rFont val="Arial MT"/>
        <family val="2"/>
      </rPr>
      <t>Date réc.</t>
    </r>
  </si>
  <si>
    <r>
      <rPr>
        <sz val="8"/>
        <color rgb="FF878787"/>
        <rFont val="Arial MT"/>
        <family val="2"/>
      </rPr>
      <t>N° liqu.</t>
    </r>
  </si>
  <si>
    <r>
      <rPr>
        <sz val="8"/>
        <color rgb="FF878787"/>
        <rFont val="Arial MT"/>
        <family val="2"/>
      </rPr>
      <t>Numéro</t>
    </r>
  </si>
  <si>
    <r>
      <rPr>
        <sz val="8"/>
        <color rgb="FF878787"/>
        <rFont val="Arial MT"/>
        <family val="2"/>
      </rPr>
      <t>Lot</t>
    </r>
  </si>
  <si>
    <r>
      <rPr>
        <sz val="8"/>
        <color rgb="FF878787"/>
        <rFont val="Arial MT"/>
        <family val="2"/>
      </rPr>
      <t>Libellé</t>
    </r>
  </si>
  <si>
    <r>
      <rPr>
        <sz val="8"/>
        <rFont val="Arial MT"/>
        <family val="2"/>
      </rPr>
      <t>450756 - 25/02</t>
    </r>
  </si>
  <si>
    <r>
      <rPr>
        <sz val="8"/>
        <rFont val="Arial MT"/>
        <family val="2"/>
      </rPr>
      <t>SOCOFIT</t>
    </r>
  </si>
  <si>
    <r>
      <rPr>
        <sz val="8"/>
        <rFont val="Arial MT"/>
        <family val="2"/>
      </rPr>
      <t>CD</t>
    </r>
  </si>
  <si>
    <r>
      <rPr>
        <sz val="8"/>
        <rFont val="Arial MT"/>
        <family val="2"/>
      </rPr>
      <t>450756 - 35/02</t>
    </r>
  </si>
  <si>
    <r>
      <rPr>
        <sz val="8"/>
        <rFont val="Arial MT"/>
        <family val="2"/>
      </rPr>
      <t>450756 - 36/01</t>
    </r>
  </si>
  <si>
    <r>
      <rPr>
        <sz val="8"/>
        <rFont val="Arial MT"/>
        <family val="2"/>
      </rPr>
      <t>451417 - 1/00</t>
    </r>
  </si>
  <si>
    <r>
      <rPr>
        <sz val="8"/>
        <rFont val="Arial MT"/>
        <family val="2"/>
      </rPr>
      <t>GUYOT-WALSER</t>
    </r>
  </si>
  <si>
    <r>
      <rPr>
        <sz val="8"/>
        <rFont val="Arial MT"/>
        <family val="2"/>
      </rPr>
      <t>JP</t>
    </r>
  </si>
  <si>
    <r>
      <rPr>
        <sz val="8"/>
        <rFont val="Arial MT"/>
        <family val="2"/>
      </rPr>
      <t>451417 - 2/00</t>
    </r>
  </si>
  <si>
    <r>
      <rPr>
        <sz val="8"/>
        <rFont val="Arial MT"/>
        <family val="2"/>
      </rPr>
      <t>451417 - 3/00</t>
    </r>
  </si>
  <si>
    <r>
      <rPr>
        <sz val="8"/>
        <rFont val="Arial MT"/>
        <family val="2"/>
      </rPr>
      <t>451417 - 4/00</t>
    </r>
  </si>
  <si>
    <r>
      <rPr>
        <sz val="8"/>
        <rFont val="Arial MT"/>
        <family val="2"/>
      </rPr>
      <t>451417 - 5/00</t>
    </r>
  </si>
  <si>
    <r>
      <rPr>
        <sz val="8"/>
        <rFont val="Arial MT"/>
        <family val="2"/>
      </rPr>
      <t>451417 - 6/00</t>
    </r>
  </si>
  <si>
    <r>
      <rPr>
        <sz val="8"/>
        <rFont val="Arial MT"/>
        <family val="2"/>
      </rPr>
      <t>451417 - 7/00</t>
    </r>
  </si>
  <si>
    <r>
      <rPr>
        <sz val="8"/>
        <rFont val="Arial MT"/>
        <family val="2"/>
      </rPr>
      <t>451417 - 9/01</t>
    </r>
  </si>
  <si>
    <r>
      <rPr>
        <sz val="8"/>
        <rFont val="Arial MT"/>
        <family val="2"/>
      </rPr>
      <t>451417 - 10/00</t>
    </r>
  </si>
  <si>
    <r>
      <rPr>
        <sz val="8"/>
        <rFont val="Arial MT"/>
        <family val="2"/>
      </rPr>
      <t>451417 - 11/00</t>
    </r>
  </si>
  <si>
    <r>
      <rPr>
        <sz val="8"/>
        <rFont val="Arial MT"/>
        <family val="2"/>
      </rPr>
      <t>451417 - 12/00</t>
    </r>
  </si>
  <si>
    <r>
      <rPr>
        <sz val="8"/>
        <rFont val="Arial MT"/>
        <family val="2"/>
      </rPr>
      <t>451417 - 13/00</t>
    </r>
  </si>
  <si>
    <r>
      <rPr>
        <sz val="8"/>
        <rFont val="Arial MT"/>
        <family val="2"/>
      </rPr>
      <t>451417 - 14/00</t>
    </r>
  </si>
  <si>
    <r>
      <rPr>
        <sz val="8"/>
        <rFont val="Arial MT"/>
        <family val="2"/>
      </rPr>
      <t>457757 - 1/01</t>
    </r>
  </si>
  <si>
    <r>
      <rPr>
        <sz val="8"/>
        <rFont val="Arial MT"/>
        <family val="2"/>
      </rPr>
      <t>GIP CPAGE</t>
    </r>
  </si>
  <si>
    <r>
      <rPr>
        <sz val="8"/>
        <rFont val="Arial MT"/>
        <family val="2"/>
      </rPr>
      <t>20CPAG</t>
    </r>
  </si>
  <si>
    <r>
      <rPr>
        <sz val="8"/>
        <rFont val="Arial MT"/>
        <family val="2"/>
      </rPr>
      <t>457757 - 2/01</t>
    </r>
  </si>
  <si>
    <r>
      <rPr>
        <sz val="8"/>
        <rFont val="Arial MT"/>
        <family val="2"/>
      </rPr>
      <t>457757 - 3/01</t>
    </r>
  </si>
  <si>
    <r>
      <rPr>
        <sz val="8"/>
        <rFont val="Arial MT"/>
        <family val="2"/>
      </rPr>
      <t>457757 - 4/01</t>
    </r>
  </si>
  <si>
    <r>
      <rPr>
        <sz val="8"/>
        <rFont val="Arial MT"/>
        <family val="2"/>
      </rPr>
      <t>457757 - 5/01</t>
    </r>
  </si>
  <si>
    <r>
      <rPr>
        <sz val="8"/>
        <rFont val="Arial MT"/>
        <family val="2"/>
      </rPr>
      <t>457757 - 6/00</t>
    </r>
  </si>
  <si>
    <r>
      <rPr>
        <sz val="8"/>
        <rFont val="Arial MT"/>
        <family val="2"/>
      </rPr>
      <t>457757 - 7/01</t>
    </r>
  </si>
  <si>
    <r>
      <rPr>
        <sz val="8"/>
        <rFont val="Arial MT"/>
        <family val="2"/>
      </rPr>
      <t>457757 - 9/00</t>
    </r>
  </si>
  <si>
    <r>
      <rPr>
        <sz val="8"/>
        <rFont val="Arial MT"/>
        <family val="2"/>
      </rPr>
      <t>457757 - 11/00</t>
    </r>
  </si>
  <si>
    <r>
      <rPr>
        <sz val="8"/>
        <rFont val="Arial MT"/>
        <family val="2"/>
      </rPr>
      <t>457757 - 12/00</t>
    </r>
  </si>
  <si>
    <r>
      <rPr>
        <sz val="8"/>
        <rFont val="Arial MT"/>
        <family val="2"/>
      </rPr>
      <t>462482 - 22/01</t>
    </r>
  </si>
  <si>
    <r>
      <rPr>
        <sz val="8"/>
        <rFont val="Arial MT"/>
        <family val="2"/>
      </rPr>
      <t>QUALICONSULT</t>
    </r>
  </si>
  <si>
    <r>
      <rPr>
        <sz val="8"/>
        <rFont val="Arial MT"/>
        <family val="2"/>
      </rPr>
      <t>462482 - 24/05</t>
    </r>
  </si>
  <si>
    <r>
      <rPr>
        <sz val="8"/>
        <rFont val="Arial MT"/>
        <family val="2"/>
      </rPr>
      <t>462482 - 25/06</t>
    </r>
  </si>
  <si>
    <r>
      <rPr>
        <sz val="8"/>
        <rFont val="Arial MT"/>
        <family val="2"/>
      </rPr>
      <t>462482 - 26/00</t>
    </r>
  </si>
  <si>
    <r>
      <rPr>
        <sz val="8"/>
        <rFont val="Arial MT"/>
        <family val="2"/>
      </rPr>
      <t>462482 - 27/00</t>
    </r>
  </si>
  <si>
    <r>
      <rPr>
        <sz val="8"/>
        <rFont val="Arial MT"/>
        <family val="2"/>
      </rPr>
      <t>462482 - 28/00</t>
    </r>
  </si>
  <si>
    <r>
      <rPr>
        <sz val="8"/>
        <rFont val="Arial MT"/>
        <family val="2"/>
      </rPr>
      <t>462482 - 29/00</t>
    </r>
  </si>
  <si>
    <r>
      <rPr>
        <sz val="8"/>
        <rFont val="Arial MT"/>
        <family val="2"/>
      </rPr>
      <t>462482 - 30/00</t>
    </r>
  </si>
  <si>
    <r>
      <rPr>
        <sz val="8"/>
        <rFont val="Arial MT"/>
        <family val="2"/>
      </rPr>
      <t>462482 - 31/00</t>
    </r>
  </si>
  <si>
    <r>
      <rPr>
        <sz val="8"/>
        <rFont val="Arial MT"/>
        <family val="2"/>
      </rPr>
      <t>462482 - 32/00</t>
    </r>
  </si>
  <si>
    <r>
      <rPr>
        <sz val="8"/>
        <rFont val="Arial MT"/>
        <family val="2"/>
      </rPr>
      <t>462812 - 3/01</t>
    </r>
  </si>
  <si>
    <r>
      <rPr>
        <sz val="8"/>
        <rFont val="Arial MT"/>
        <family val="2"/>
      </rPr>
      <t>GIP SIB</t>
    </r>
  </si>
  <si>
    <r>
      <rPr>
        <sz val="8"/>
        <rFont val="Arial MT"/>
        <family val="2"/>
      </rPr>
      <t>462812 - 4/01</t>
    </r>
  </si>
  <si>
    <r>
      <rPr>
        <sz val="8"/>
        <rFont val="Arial MT"/>
        <family val="2"/>
      </rPr>
      <t>462812 - 13/00</t>
    </r>
  </si>
  <si>
    <r>
      <rPr>
        <sz val="8"/>
        <rFont val="Arial MT"/>
        <family val="2"/>
      </rPr>
      <t>462812 - 24/00</t>
    </r>
  </si>
  <si>
    <r>
      <rPr>
        <sz val="8"/>
        <rFont val="Arial MT"/>
        <family val="2"/>
      </rPr>
      <t>462812 - 25/00</t>
    </r>
  </si>
  <si>
    <r>
      <rPr>
        <sz val="8"/>
        <rFont val="Arial MT"/>
        <family val="2"/>
      </rPr>
      <t>462812 - 26/00</t>
    </r>
  </si>
  <si>
    <r>
      <rPr>
        <sz val="8"/>
        <rFont val="Arial MT"/>
        <family val="2"/>
      </rPr>
      <t>462812 - 27/00</t>
    </r>
  </si>
  <si>
    <r>
      <rPr>
        <sz val="8"/>
        <rFont val="Arial MT"/>
        <family val="2"/>
      </rPr>
      <t>462812 - 28/00</t>
    </r>
  </si>
  <si>
    <r>
      <rPr>
        <sz val="8"/>
        <rFont val="Arial MT"/>
        <family val="2"/>
      </rPr>
      <t>462812 - 29/00</t>
    </r>
  </si>
  <si>
    <r>
      <rPr>
        <sz val="8"/>
        <rFont val="Arial MT"/>
        <family val="2"/>
      </rPr>
      <t>462812 - 30/00</t>
    </r>
  </si>
  <si>
    <r>
      <rPr>
        <sz val="8"/>
        <rFont val="Arial MT"/>
        <family val="2"/>
      </rPr>
      <t>462812 - 31/00</t>
    </r>
  </si>
  <si>
    <r>
      <rPr>
        <sz val="8"/>
        <rFont val="Arial MT"/>
        <family val="2"/>
      </rPr>
      <t>462812 - 32/00</t>
    </r>
  </si>
  <si>
    <r>
      <rPr>
        <sz val="8"/>
        <rFont val="Arial MT"/>
        <family val="2"/>
      </rPr>
      <t>462812 - 38/00</t>
    </r>
  </si>
  <si>
    <r>
      <rPr>
        <sz val="8"/>
        <rFont val="Arial MT"/>
        <family val="2"/>
      </rPr>
      <t>462812 - 40/00</t>
    </r>
  </si>
  <si>
    <r>
      <rPr>
        <sz val="8"/>
        <rFont val="Arial MT"/>
        <family val="2"/>
      </rPr>
      <t>462812 - 41/00</t>
    </r>
  </si>
  <si>
    <r>
      <rPr>
        <sz val="8"/>
        <rFont val="Arial MT"/>
        <family val="2"/>
      </rPr>
      <t>462812 - 43/00</t>
    </r>
  </si>
  <si>
    <r>
      <rPr>
        <sz val="8"/>
        <rFont val="Arial MT"/>
        <family val="2"/>
      </rPr>
      <t>462812 - 44/00</t>
    </r>
  </si>
  <si>
    <r>
      <rPr>
        <sz val="8"/>
        <rFont val="Arial MT"/>
        <family val="2"/>
      </rPr>
      <t>462812 - 46/00</t>
    </r>
  </si>
  <si>
    <r>
      <rPr>
        <sz val="8"/>
        <rFont val="Arial MT"/>
        <family val="2"/>
      </rPr>
      <t>462812 - 47/00</t>
    </r>
  </si>
  <si>
    <r>
      <rPr>
        <sz val="8"/>
        <rFont val="Arial MT"/>
        <family val="2"/>
      </rPr>
      <t>462812 - 48/00</t>
    </r>
  </si>
  <si>
    <r>
      <rPr>
        <sz val="8"/>
        <rFont val="Arial MT"/>
        <family val="2"/>
      </rPr>
      <t>462812 - 49/00</t>
    </r>
  </si>
  <si>
    <r>
      <rPr>
        <sz val="8"/>
        <rFont val="Arial MT"/>
        <family val="2"/>
      </rPr>
      <t>462812 - 50/00</t>
    </r>
  </si>
  <si>
    <r>
      <rPr>
        <sz val="8"/>
        <rFont val="Arial MT"/>
        <family val="2"/>
      </rPr>
      <t>462812 - 51/00</t>
    </r>
  </si>
  <si>
    <r>
      <rPr>
        <sz val="8"/>
        <rFont val="Arial MT"/>
        <family val="2"/>
      </rPr>
      <t>462812 - 52/00</t>
    </r>
  </si>
  <si>
    <r>
      <rPr>
        <sz val="8"/>
        <rFont val="Arial MT"/>
        <family val="2"/>
      </rPr>
      <t>462812 - 53/00</t>
    </r>
  </si>
  <si>
    <r>
      <rPr>
        <sz val="8"/>
        <rFont val="Arial MT"/>
        <family val="2"/>
      </rPr>
      <t>462812 - 54/00</t>
    </r>
  </si>
  <si>
    <r>
      <rPr>
        <sz val="8"/>
        <rFont val="Arial MT"/>
        <family val="2"/>
      </rPr>
      <t>462812 - 55/00</t>
    </r>
  </si>
  <si>
    <r>
      <rPr>
        <sz val="8"/>
        <rFont val="Arial MT"/>
        <family val="2"/>
      </rPr>
      <t>462812 - 56/00</t>
    </r>
  </si>
  <si>
    <r>
      <rPr>
        <sz val="8"/>
        <rFont val="Arial MT"/>
        <family val="2"/>
      </rPr>
      <t>462812 - 57/00</t>
    </r>
  </si>
  <si>
    <r>
      <rPr>
        <sz val="8"/>
        <rFont val="Arial MT"/>
        <family val="2"/>
      </rPr>
      <t>462864 - 1/00</t>
    </r>
  </si>
  <si>
    <r>
      <rPr>
        <sz val="8"/>
        <rFont val="Arial MT"/>
        <family val="2"/>
      </rPr>
      <t>462864 - 6/00</t>
    </r>
  </si>
  <si>
    <r>
      <rPr>
        <sz val="8"/>
        <rFont val="Arial MT"/>
        <family val="2"/>
      </rPr>
      <t>469327 - 3/00</t>
    </r>
  </si>
  <si>
    <r>
      <rPr>
        <sz val="8"/>
        <rFont val="Arial MT"/>
        <family val="2"/>
      </rPr>
      <t>SOCOTEC</t>
    </r>
  </si>
  <si>
    <r>
      <rPr>
        <sz val="8"/>
        <rFont val="Arial MT"/>
        <family val="2"/>
      </rPr>
      <t>19DV33</t>
    </r>
  </si>
  <si>
    <r>
      <rPr>
        <sz val="8"/>
        <rFont val="Arial MT"/>
        <family val="2"/>
      </rPr>
      <t>475513 - 87/25</t>
    </r>
  </si>
  <si>
    <r>
      <rPr>
        <sz val="8"/>
        <rFont val="Arial MT"/>
        <family val="2"/>
      </rPr>
      <t>AEROCOM&amp;CO</t>
    </r>
  </si>
  <si>
    <r>
      <rPr>
        <sz val="8"/>
        <rFont val="Arial MT"/>
        <family val="2"/>
      </rPr>
      <t>475672 - 8/01</t>
    </r>
  </si>
  <si>
    <r>
      <rPr>
        <sz val="8"/>
        <rFont val="Arial MT"/>
        <family val="2"/>
      </rPr>
      <t>BARBOSA-VIVIER</t>
    </r>
  </si>
  <si>
    <r>
      <rPr>
        <sz val="8"/>
        <rFont val="Arial MT"/>
        <family val="2"/>
      </rPr>
      <t>475683 - 8/01</t>
    </r>
  </si>
  <si>
    <r>
      <rPr>
        <sz val="8"/>
        <rFont val="Arial MT"/>
        <family val="2"/>
      </rPr>
      <t>ACORE INGENIERIE</t>
    </r>
  </si>
  <si>
    <r>
      <rPr>
        <sz val="8"/>
        <rFont val="Arial MT"/>
        <family val="2"/>
      </rPr>
      <t>475683 - 11/00</t>
    </r>
  </si>
  <si>
    <r>
      <rPr>
        <sz val="8"/>
        <rFont val="Arial MT"/>
        <family val="2"/>
      </rPr>
      <t>475846 - 7/06</t>
    </r>
  </si>
  <si>
    <r>
      <rPr>
        <sz val="8"/>
        <rFont val="Arial MT"/>
        <family val="2"/>
      </rPr>
      <t>NAMIXIS</t>
    </r>
  </si>
  <si>
    <r>
      <rPr>
        <sz val="8"/>
        <rFont val="Arial MT"/>
        <family val="2"/>
      </rPr>
      <t>19PA32</t>
    </r>
  </si>
  <si>
    <r>
      <rPr>
        <sz val="8"/>
        <rFont val="Arial MT"/>
        <family val="2"/>
      </rPr>
      <t>475846 - 10/00</t>
    </r>
  </si>
  <si>
    <r>
      <rPr>
        <sz val="8"/>
        <rFont val="Arial MT"/>
        <family val="2"/>
      </rPr>
      <t>502632 - 1/24</t>
    </r>
  </si>
  <si>
    <r>
      <rPr>
        <sz val="8"/>
        <rFont val="Arial MT"/>
        <family val="2"/>
      </rPr>
      <t>EIFFAGE CONSTRUCTION</t>
    </r>
  </si>
  <si>
    <r>
      <rPr>
        <sz val="8"/>
        <rFont val="Arial MT"/>
        <family val="2"/>
      </rPr>
      <t>502632 - 2/00</t>
    </r>
  </si>
  <si>
    <r>
      <rPr>
        <sz val="8"/>
        <rFont val="Arial MT"/>
        <family val="2"/>
      </rPr>
      <t>502632 - 4/00</t>
    </r>
  </si>
  <si>
    <r>
      <rPr>
        <sz val="8"/>
        <rFont val="Arial MT"/>
        <family val="2"/>
      </rPr>
      <t>502632 - 5/00</t>
    </r>
  </si>
  <si>
    <r>
      <rPr>
        <sz val="8"/>
        <rFont val="Arial MT"/>
        <family val="2"/>
      </rPr>
      <t>502640 - 1/55</t>
    </r>
  </si>
  <si>
    <r>
      <rPr>
        <sz val="8"/>
        <rFont val="Arial MT"/>
        <family val="2"/>
      </rPr>
      <t>502648 - 1/15</t>
    </r>
  </si>
  <si>
    <r>
      <rPr>
        <sz val="8"/>
        <rFont val="Arial MT"/>
        <family val="2"/>
      </rPr>
      <t>502655 - 1/22</t>
    </r>
  </si>
  <si>
    <r>
      <rPr>
        <sz val="8"/>
        <rFont val="Arial MT"/>
        <family val="2"/>
      </rPr>
      <t>502657 - 1/38</t>
    </r>
  </si>
  <si>
    <r>
      <rPr>
        <sz val="8"/>
        <rFont val="Arial MT"/>
        <family val="2"/>
      </rPr>
      <t>504098 - 1/00</t>
    </r>
  </si>
  <si>
    <r>
      <rPr>
        <sz val="8"/>
        <rFont val="Arial MT"/>
        <family val="2"/>
      </rPr>
      <t>COMPUTER</t>
    </r>
  </si>
  <si>
    <r>
      <rPr>
        <sz val="8"/>
        <rFont val="Arial MT"/>
        <family val="2"/>
      </rPr>
      <t>508719 - 1/01</t>
    </r>
  </si>
  <si>
    <r>
      <rPr>
        <sz val="8"/>
        <rFont val="Arial MT"/>
        <family val="2"/>
      </rPr>
      <t>510623 - 1/00</t>
    </r>
  </si>
  <si>
    <r>
      <rPr>
        <sz val="8"/>
        <rFont val="Arial MT"/>
        <family val="2"/>
      </rPr>
      <t>DEKRA INDUSTRIAL SAS</t>
    </r>
  </si>
  <si>
    <r>
      <rPr>
        <sz val="8"/>
        <rFont val="Arial MT"/>
        <family val="2"/>
      </rPr>
      <t>510623 - 1/01</t>
    </r>
  </si>
  <si>
    <r>
      <rPr>
        <sz val="8"/>
        <rFont val="Arial MT"/>
        <family val="2"/>
      </rPr>
      <t>521325 - 1/04</t>
    </r>
  </si>
  <si>
    <r>
      <rPr>
        <sz val="8"/>
        <rFont val="Arial MT"/>
        <family val="2"/>
      </rPr>
      <t>DEDALUS FRANCE</t>
    </r>
  </si>
  <si>
    <r>
      <rPr>
        <sz val="8"/>
        <rFont val="Arial MT"/>
        <family val="2"/>
      </rPr>
      <t>21UN06</t>
    </r>
  </si>
  <si>
    <r>
      <rPr>
        <sz val="8"/>
        <rFont val="Arial MT"/>
        <family val="2"/>
      </rPr>
      <t>521325 - 2/04</t>
    </r>
  </si>
  <si>
    <r>
      <rPr>
        <sz val="8"/>
        <rFont val="Arial MT"/>
        <family val="2"/>
      </rPr>
      <t>521325 - 3/04</t>
    </r>
  </si>
  <si>
    <r>
      <rPr>
        <sz val="8"/>
        <rFont val="Arial MT"/>
        <family val="2"/>
      </rPr>
      <t>521325 - 4/04</t>
    </r>
  </si>
  <si>
    <r>
      <rPr>
        <sz val="8"/>
        <rFont val="Arial MT"/>
        <family val="2"/>
      </rPr>
      <t>521325 - 6/00</t>
    </r>
  </si>
  <si>
    <r>
      <rPr>
        <sz val="8"/>
        <rFont val="Arial MT"/>
        <family val="2"/>
      </rPr>
      <t>521325 - 7/00</t>
    </r>
  </si>
  <si>
    <r>
      <rPr>
        <sz val="8"/>
        <rFont val="Arial MT"/>
        <family val="2"/>
      </rPr>
      <t>521325 - 8/00</t>
    </r>
  </si>
  <si>
    <r>
      <rPr>
        <sz val="8"/>
        <rFont val="Arial MT"/>
        <family val="2"/>
      </rPr>
      <t>521325 - 9/00</t>
    </r>
  </si>
  <si>
    <r>
      <rPr>
        <sz val="8"/>
        <rFont val="Arial MT"/>
        <family val="2"/>
      </rPr>
      <t>521325 - 10/00</t>
    </r>
  </si>
  <si>
    <r>
      <rPr>
        <sz val="8"/>
        <rFont val="Arial MT"/>
        <family val="2"/>
      </rPr>
      <t>521325 - 11/00</t>
    </r>
  </si>
  <si>
    <r>
      <rPr>
        <sz val="8"/>
        <rFont val="Arial MT"/>
        <family val="2"/>
      </rPr>
      <t>521325 - 12/00</t>
    </r>
  </si>
  <si>
    <r>
      <rPr>
        <sz val="8"/>
        <rFont val="Arial MT"/>
        <family val="2"/>
      </rPr>
      <t>521325 - 13/00</t>
    </r>
  </si>
  <si>
    <r>
      <rPr>
        <sz val="8"/>
        <rFont val="Arial MT"/>
        <family val="2"/>
      </rPr>
      <t>521325 - 14/04</t>
    </r>
  </si>
  <si>
    <r>
      <rPr>
        <sz val="8"/>
        <rFont val="Arial MT"/>
        <family val="2"/>
      </rPr>
      <t>521325 - 15/00</t>
    </r>
  </si>
  <si>
    <r>
      <rPr>
        <sz val="8"/>
        <rFont val="Arial MT"/>
        <family val="2"/>
      </rPr>
      <t>521325 - 16/00</t>
    </r>
  </si>
  <si>
    <r>
      <rPr>
        <sz val="8"/>
        <rFont val="Arial MT"/>
        <family val="2"/>
      </rPr>
      <t>521325 - 17/00</t>
    </r>
  </si>
  <si>
    <r>
      <rPr>
        <sz val="8"/>
        <rFont val="Arial MT"/>
        <family val="2"/>
      </rPr>
      <t>525141 - 1/00</t>
    </r>
  </si>
  <si>
    <r>
      <rPr>
        <sz val="8"/>
        <rFont val="Arial MT"/>
        <family val="2"/>
      </rPr>
      <t>NXO FRANCE</t>
    </r>
  </si>
  <si>
    <r>
      <rPr>
        <sz val="8"/>
        <rFont val="Arial MT"/>
        <family val="2"/>
      </rPr>
      <t>525141 - 2/00</t>
    </r>
  </si>
  <si>
    <r>
      <rPr>
        <sz val="8"/>
        <rFont val="Arial MT"/>
        <family val="2"/>
      </rPr>
      <t>525141 - 3/00</t>
    </r>
  </si>
  <si>
    <r>
      <rPr>
        <sz val="8"/>
        <rFont val="Arial MT"/>
        <family val="2"/>
      </rPr>
      <t>525141 - 4/00</t>
    </r>
  </si>
  <si>
    <r>
      <rPr>
        <sz val="8"/>
        <rFont val="Arial MT"/>
        <family val="2"/>
      </rPr>
      <t>532186 - 1/00</t>
    </r>
  </si>
  <si>
    <r>
      <rPr>
        <sz val="8"/>
        <rFont val="Arial MT"/>
        <family val="2"/>
      </rPr>
      <t>532186 - 2/00</t>
    </r>
  </si>
  <si>
    <r>
      <rPr>
        <sz val="8"/>
        <rFont val="Arial MT"/>
        <family val="2"/>
      </rPr>
      <t>532907 - 9/02</t>
    </r>
  </si>
  <si>
    <r>
      <rPr>
        <sz val="8"/>
        <rFont val="Arial MT"/>
        <family val="2"/>
      </rPr>
      <t>21PI02</t>
    </r>
  </si>
  <si>
    <r>
      <rPr>
        <sz val="8"/>
        <rFont val="Arial MT"/>
        <family val="2"/>
      </rPr>
      <t>532907 - 14/01</t>
    </r>
  </si>
  <si>
    <r>
      <rPr>
        <sz val="8"/>
        <rFont val="Arial MT"/>
        <family val="2"/>
      </rPr>
      <t>532907 - 17/02</t>
    </r>
  </si>
  <si>
    <r>
      <rPr>
        <sz val="8"/>
        <rFont val="Arial MT"/>
        <family val="2"/>
      </rPr>
      <t>532907 - 18/01</t>
    </r>
  </si>
  <si>
    <r>
      <rPr>
        <sz val="8"/>
        <rFont val="Arial MT"/>
        <family val="2"/>
      </rPr>
      <t>532907 - 19/01</t>
    </r>
  </si>
  <si>
    <r>
      <rPr>
        <sz val="8"/>
        <rFont val="Arial MT"/>
        <family val="2"/>
      </rPr>
      <t>532907 - 22/00</t>
    </r>
  </si>
  <si>
    <r>
      <rPr>
        <sz val="8"/>
        <rFont val="Arial MT"/>
        <family val="2"/>
      </rPr>
      <t>532907 - 23/00</t>
    </r>
  </si>
  <si>
    <r>
      <rPr>
        <sz val="8"/>
        <rFont val="Arial MT"/>
        <family val="2"/>
      </rPr>
      <t>532907 - 24/00</t>
    </r>
  </si>
  <si>
    <r>
      <rPr>
        <sz val="8"/>
        <rFont val="Arial MT"/>
        <family val="2"/>
      </rPr>
      <t>542176 - 2/02</t>
    </r>
  </si>
  <si>
    <r>
      <rPr>
        <sz val="8"/>
        <rFont val="Arial MT"/>
        <family val="2"/>
      </rPr>
      <t>CLINISYS FRANCE</t>
    </r>
  </si>
  <si>
    <r>
      <rPr>
        <sz val="8"/>
        <rFont val="Arial MT"/>
        <family val="2"/>
      </rPr>
      <t>22UN63</t>
    </r>
  </si>
  <si>
    <r>
      <rPr>
        <sz val="8"/>
        <rFont val="Arial MT"/>
        <family val="2"/>
      </rPr>
      <t>542176 - 4/01</t>
    </r>
  </si>
  <si>
    <r>
      <rPr>
        <sz val="8"/>
        <rFont val="Arial MT"/>
        <family val="2"/>
      </rPr>
      <t>542176 - 6/02</t>
    </r>
  </si>
  <si>
    <r>
      <rPr>
        <sz val="8"/>
        <rFont val="Arial MT"/>
        <family val="2"/>
      </rPr>
      <t>542176 - 8/01</t>
    </r>
  </si>
  <si>
    <r>
      <rPr>
        <sz val="8"/>
        <rFont val="Arial MT"/>
        <family val="2"/>
      </rPr>
      <t>542183 - 1/00</t>
    </r>
  </si>
  <si>
    <r>
      <rPr>
        <sz val="8"/>
        <rFont val="Arial MT"/>
        <family val="2"/>
      </rPr>
      <t>542183 - 3/04</t>
    </r>
  </si>
  <si>
    <r>
      <rPr>
        <sz val="8"/>
        <rFont val="Arial MT"/>
        <family val="2"/>
      </rPr>
      <t>542183 - 4/01</t>
    </r>
  </si>
  <si>
    <r>
      <rPr>
        <sz val="8"/>
        <rFont val="Arial MT"/>
        <family val="2"/>
      </rPr>
      <t>542183 - 5/01</t>
    </r>
  </si>
  <si>
    <r>
      <rPr>
        <sz val="8"/>
        <rFont val="Arial MT"/>
        <family val="2"/>
      </rPr>
      <t>542183 - 6/01</t>
    </r>
  </si>
  <si>
    <r>
      <rPr>
        <sz val="8"/>
        <rFont val="Arial MT"/>
        <family val="2"/>
      </rPr>
      <t>542183 - 7/00</t>
    </r>
  </si>
  <si>
    <r>
      <rPr>
        <sz val="8"/>
        <rFont val="Arial MT"/>
        <family val="2"/>
      </rPr>
      <t>542183 - 9/00</t>
    </r>
  </si>
  <si>
    <r>
      <rPr>
        <sz val="8"/>
        <rFont val="Arial MT"/>
        <family val="2"/>
      </rPr>
      <t>542183 - 10/00</t>
    </r>
  </si>
  <si>
    <r>
      <rPr>
        <sz val="8"/>
        <rFont val="Arial MT"/>
        <family val="2"/>
      </rPr>
      <t>542183 - 11/00</t>
    </r>
  </si>
  <si>
    <r>
      <rPr>
        <sz val="8"/>
        <rFont val="Arial MT"/>
        <family val="2"/>
      </rPr>
      <t>542183 - 12/01</t>
    </r>
  </si>
  <si>
    <r>
      <rPr>
        <sz val="8"/>
        <rFont val="Arial MT"/>
        <family val="2"/>
      </rPr>
      <t>542183 - 13/00</t>
    </r>
  </si>
  <si>
    <r>
      <rPr>
        <sz val="8"/>
        <rFont val="Arial MT"/>
        <family val="2"/>
      </rPr>
      <t>542183 - 14/00</t>
    </r>
  </si>
  <si>
    <r>
      <rPr>
        <sz val="8"/>
        <rFont val="Arial MT"/>
        <family val="2"/>
      </rPr>
      <t>542190 - 2/02</t>
    </r>
  </si>
  <si>
    <r>
      <rPr>
        <sz val="8"/>
        <rFont val="Arial MT"/>
        <family val="2"/>
      </rPr>
      <t>542190 - 7/00</t>
    </r>
  </si>
  <si>
    <r>
      <rPr>
        <sz val="8"/>
        <rFont val="Arial MT"/>
        <family val="2"/>
      </rPr>
      <t>542190 - 8/00</t>
    </r>
  </si>
  <si>
    <r>
      <rPr>
        <sz val="8"/>
        <rFont val="Arial MT"/>
        <family val="2"/>
      </rPr>
      <t>542190 - 11/00</t>
    </r>
  </si>
  <si>
    <r>
      <rPr>
        <sz val="8"/>
        <rFont val="Arial MT"/>
        <family val="2"/>
      </rPr>
      <t>542190 - 12/01</t>
    </r>
  </si>
  <si>
    <r>
      <rPr>
        <sz val="8"/>
        <rFont val="Arial MT"/>
        <family val="2"/>
      </rPr>
      <t>542190 - 13/02</t>
    </r>
  </si>
  <si>
    <r>
      <rPr>
        <sz val="8"/>
        <rFont val="Arial MT"/>
        <family val="2"/>
      </rPr>
      <t>542190 - 15/00</t>
    </r>
  </si>
  <si>
    <r>
      <rPr>
        <sz val="8"/>
        <rFont val="Arial MT"/>
        <family val="2"/>
      </rPr>
      <t>542621 - 1/00</t>
    </r>
  </si>
  <si>
    <r>
      <rPr>
        <sz val="8"/>
        <rFont val="Arial MT"/>
        <family val="2"/>
      </rPr>
      <t>542621 - 2/01</t>
    </r>
  </si>
  <si>
    <r>
      <rPr>
        <sz val="8"/>
        <rFont val="Arial MT"/>
        <family val="2"/>
      </rPr>
      <t>542621 - 3/01</t>
    </r>
  </si>
  <si>
    <r>
      <rPr>
        <sz val="8"/>
        <rFont val="Arial MT"/>
        <family val="2"/>
      </rPr>
      <t>542621 - 4/00</t>
    </r>
  </si>
  <si>
    <r>
      <rPr>
        <sz val="8"/>
        <rFont val="Arial MT"/>
        <family val="2"/>
      </rPr>
      <t>542621 - 5/00</t>
    </r>
  </si>
  <si>
    <r>
      <rPr>
        <sz val="8"/>
        <rFont val="Arial MT"/>
        <family val="2"/>
      </rPr>
      <t>542621 - 6/01</t>
    </r>
  </si>
  <si>
    <r>
      <rPr>
        <sz val="8"/>
        <rFont val="Arial MT"/>
        <family val="2"/>
      </rPr>
      <t>542621 - 7/01</t>
    </r>
  </si>
  <si>
    <r>
      <rPr>
        <sz val="8"/>
        <rFont val="Arial MT"/>
        <family val="2"/>
      </rPr>
      <t>544696 - 2/00</t>
    </r>
  </si>
  <si>
    <r>
      <rPr>
        <sz val="8"/>
        <rFont val="Arial MT"/>
        <family val="2"/>
      </rPr>
      <t>SCC S.A.</t>
    </r>
  </si>
  <si>
    <r>
      <rPr>
        <sz val="8"/>
        <rFont val="Arial MT"/>
        <family val="2"/>
      </rPr>
      <t>22CA84</t>
    </r>
  </si>
  <si>
    <r>
      <rPr>
        <sz val="8"/>
        <rFont val="Arial MT"/>
        <family val="2"/>
      </rPr>
      <t>544696 - 4/00</t>
    </r>
  </si>
  <si>
    <r>
      <rPr>
        <sz val="8"/>
        <rFont val="Arial MT"/>
        <family val="2"/>
      </rPr>
      <t>544696 - 9/00</t>
    </r>
  </si>
  <si>
    <r>
      <rPr>
        <sz val="8"/>
        <rFont val="Arial MT"/>
        <family val="2"/>
      </rPr>
      <t>544696 - 10/00</t>
    </r>
  </si>
  <si>
    <r>
      <rPr>
        <sz val="8"/>
        <rFont val="Arial MT"/>
        <family val="2"/>
      </rPr>
      <t>544696 - 11/00</t>
    </r>
  </si>
  <si>
    <r>
      <rPr>
        <sz val="8"/>
        <rFont val="Arial MT"/>
        <family val="2"/>
      </rPr>
      <t>544696 - 14/00</t>
    </r>
  </si>
  <si>
    <r>
      <rPr>
        <sz val="8"/>
        <rFont val="Arial MT"/>
        <family val="2"/>
      </rPr>
      <t>544696 - 16/01</t>
    </r>
  </si>
  <si>
    <r>
      <rPr>
        <sz val="8"/>
        <rFont val="Arial MT"/>
        <family val="2"/>
      </rPr>
      <t>544853 - 3/13</t>
    </r>
  </si>
  <si>
    <r>
      <rPr>
        <sz val="8"/>
        <rFont val="Arial MT"/>
        <family val="2"/>
      </rPr>
      <t>SOCOTEC EQUIPEMENTS</t>
    </r>
  </si>
  <si>
    <r>
      <rPr>
        <sz val="8"/>
        <rFont val="Arial MT"/>
        <family val="2"/>
      </rPr>
      <t>544853 - 4/01</t>
    </r>
  </si>
  <si>
    <r>
      <rPr>
        <sz val="8"/>
        <rFont val="Arial MT"/>
        <family val="2"/>
      </rPr>
      <t>545957 - 2/01</t>
    </r>
  </si>
  <si>
    <r>
      <rPr>
        <sz val="8"/>
        <rFont val="Arial MT"/>
        <family val="2"/>
      </rPr>
      <t>WASSENBURG MEDICAL</t>
    </r>
  </si>
  <si>
    <r>
      <rPr>
        <sz val="8"/>
        <rFont val="Arial MT"/>
        <family val="2"/>
      </rPr>
      <t>545957 - 4/01</t>
    </r>
  </si>
  <si>
    <r>
      <rPr>
        <sz val="8"/>
        <rFont val="Arial MT"/>
        <family val="2"/>
      </rPr>
      <t>546385 - 3/00</t>
    </r>
  </si>
  <si>
    <r>
      <rPr>
        <sz val="8"/>
        <rFont val="Arial MT"/>
        <family val="2"/>
      </rPr>
      <t>SARL D'ARCHITECURE -</t>
    </r>
  </si>
  <si>
    <r>
      <rPr>
        <sz val="8"/>
        <rFont val="Arial MT"/>
        <family val="2"/>
      </rPr>
      <t>21PI03</t>
    </r>
  </si>
  <si>
    <r>
      <rPr>
        <sz val="8"/>
        <rFont val="Arial MT"/>
        <family val="2"/>
      </rPr>
      <t>546385 - 4/00</t>
    </r>
  </si>
  <si>
    <r>
      <rPr>
        <sz val="8"/>
        <rFont val="Arial MT"/>
        <family val="2"/>
      </rPr>
      <t>546385 - 5/00</t>
    </r>
  </si>
  <si>
    <r>
      <rPr>
        <sz val="8"/>
        <rFont val="Arial MT"/>
        <family val="2"/>
      </rPr>
      <t>546385 - 6/00</t>
    </r>
  </si>
  <si>
    <r>
      <rPr>
        <sz val="8"/>
        <rFont val="Arial MT"/>
        <family val="2"/>
      </rPr>
      <t>546385 - 7/00</t>
    </r>
  </si>
  <si>
    <r>
      <rPr>
        <sz val="8"/>
        <rFont val="Arial MT"/>
        <family val="2"/>
      </rPr>
      <t>546385 - 8/00</t>
    </r>
  </si>
  <si>
    <r>
      <rPr>
        <sz val="8"/>
        <rFont val="Arial MT"/>
        <family val="2"/>
      </rPr>
      <t>546385 - 9/00</t>
    </r>
  </si>
  <si>
    <r>
      <rPr>
        <sz val="8"/>
        <rFont val="Arial MT"/>
        <family val="2"/>
      </rPr>
      <t>549081 - 1/00</t>
    </r>
  </si>
  <si>
    <r>
      <rPr>
        <sz val="8"/>
        <rFont val="Arial MT"/>
        <family val="2"/>
      </rPr>
      <t>NEXUS OPTIM SAS</t>
    </r>
  </si>
  <si>
    <r>
      <rPr>
        <sz val="8"/>
        <rFont val="Arial MT"/>
        <family val="2"/>
      </rPr>
      <t>555928 - 1/00</t>
    </r>
  </si>
  <si>
    <r>
      <rPr>
        <sz val="8"/>
        <rFont val="Arial MT"/>
        <family val="2"/>
      </rPr>
      <t>UGAP</t>
    </r>
  </si>
  <si>
    <r>
      <rPr>
        <sz val="8"/>
        <rFont val="Arial MT"/>
        <family val="2"/>
      </rPr>
      <t>555928 - 2/00</t>
    </r>
  </si>
  <si>
    <r>
      <rPr>
        <sz val="8"/>
        <rFont val="Arial MT"/>
        <family val="2"/>
      </rPr>
      <t>555928 - 3/00</t>
    </r>
  </si>
  <si>
    <r>
      <rPr>
        <sz val="8"/>
        <rFont val="Arial MT"/>
        <family val="2"/>
      </rPr>
      <t>555928 - 4/00</t>
    </r>
  </si>
  <si>
    <r>
      <rPr>
        <sz val="8"/>
        <rFont val="Arial MT"/>
        <family val="2"/>
      </rPr>
      <t>555928 - 5/00</t>
    </r>
  </si>
  <si>
    <r>
      <rPr>
        <sz val="8"/>
        <rFont val="Arial MT"/>
        <family val="2"/>
      </rPr>
      <t>555928 - 6/00</t>
    </r>
  </si>
  <si>
    <r>
      <rPr>
        <sz val="8"/>
        <rFont val="Arial MT"/>
        <family val="2"/>
      </rPr>
      <t>556677 - 1/01</t>
    </r>
  </si>
  <si>
    <r>
      <rPr>
        <sz val="8"/>
        <rFont val="Arial MT"/>
        <family val="2"/>
      </rPr>
      <t>22UG13</t>
    </r>
  </si>
  <si>
    <r>
      <rPr>
        <sz val="8"/>
        <rFont val="Arial MT"/>
        <family val="2"/>
      </rPr>
      <t>558389 - 4/00</t>
    </r>
  </si>
  <si>
    <r>
      <rPr>
        <sz val="8"/>
        <rFont val="Arial MT"/>
        <family val="2"/>
      </rPr>
      <t>APSIS SANTE - FORVIS</t>
    </r>
  </si>
  <si>
    <r>
      <rPr>
        <sz val="8"/>
        <rFont val="Arial MT"/>
        <family val="2"/>
      </rPr>
      <t>558389 - 6/01</t>
    </r>
  </si>
  <si>
    <r>
      <rPr>
        <sz val="8"/>
        <rFont val="Arial MT"/>
        <family val="2"/>
      </rPr>
      <t>558389 - 7/00</t>
    </r>
  </si>
  <si>
    <r>
      <rPr>
        <sz val="8"/>
        <rFont val="Arial MT"/>
        <family val="2"/>
      </rPr>
      <t>558389 - 8/00</t>
    </r>
  </si>
  <si>
    <r>
      <rPr>
        <sz val="8"/>
        <rFont val="Arial MT"/>
        <family val="2"/>
      </rPr>
      <t>558389 - 9/00</t>
    </r>
  </si>
  <si>
    <r>
      <rPr>
        <sz val="8"/>
        <rFont val="Arial MT"/>
        <family val="2"/>
      </rPr>
      <t>576047 - 1/00</t>
    </r>
  </si>
  <si>
    <r>
      <rPr>
        <sz val="8"/>
        <rFont val="Arial MT"/>
        <family val="2"/>
      </rPr>
      <t>SELARL BLT DROIT</t>
    </r>
  </si>
  <si>
    <r>
      <rPr>
        <sz val="8"/>
        <rFont val="Arial MT"/>
        <family val="2"/>
      </rPr>
      <t>576047 - 2/00</t>
    </r>
  </si>
  <si>
    <r>
      <rPr>
        <sz val="8"/>
        <rFont val="Arial MT"/>
        <family val="2"/>
      </rPr>
      <t>576047 - 3/00</t>
    </r>
  </si>
  <si>
    <r>
      <rPr>
        <sz val="8"/>
        <rFont val="Arial MT"/>
        <family val="2"/>
      </rPr>
      <t>576348 - 1/02</t>
    </r>
  </si>
  <si>
    <r>
      <rPr>
        <sz val="8"/>
        <rFont val="Arial MT"/>
        <family val="2"/>
      </rPr>
      <t>23UG01</t>
    </r>
  </si>
  <si>
    <r>
      <rPr>
        <sz val="8"/>
        <rFont val="Arial MT"/>
        <family val="2"/>
      </rPr>
      <t>582062 - 1/01</t>
    </r>
  </si>
  <si>
    <r>
      <rPr>
        <sz val="8"/>
        <rFont val="Arial MT"/>
        <family val="2"/>
      </rPr>
      <t>22F160</t>
    </r>
  </si>
  <si>
    <r>
      <rPr>
        <sz val="8"/>
        <rFont val="Arial MT"/>
        <family val="2"/>
      </rPr>
      <t>582062 - 2/00</t>
    </r>
  </si>
  <si>
    <r>
      <rPr>
        <sz val="8"/>
        <rFont val="Arial MT"/>
        <family val="2"/>
      </rPr>
      <t>582062 - 3/00</t>
    </r>
  </si>
  <si>
    <r>
      <rPr>
        <sz val="8"/>
        <rFont val="Arial MT"/>
        <family val="2"/>
      </rPr>
      <t>585173 - 1/00</t>
    </r>
  </si>
  <si>
    <r>
      <rPr>
        <sz val="8"/>
        <rFont val="Arial MT"/>
        <family val="2"/>
      </rPr>
      <t>SIEMENS HEALTHCARE</t>
    </r>
  </si>
  <si>
    <r>
      <rPr>
        <sz val="8"/>
        <rFont val="Arial MT"/>
        <family val="2"/>
      </rPr>
      <t>585175 - 1/00</t>
    </r>
  </si>
  <si>
    <r>
      <rPr>
        <sz val="8"/>
        <rFont val="Arial MT"/>
        <family val="2"/>
      </rPr>
      <t>585846 - 1/00</t>
    </r>
  </si>
  <si>
    <r>
      <rPr>
        <sz val="8"/>
        <rFont val="Arial MT"/>
        <family val="2"/>
      </rPr>
      <t>23S001</t>
    </r>
  </si>
  <si>
    <r>
      <rPr>
        <sz val="8"/>
        <rFont val="Arial MT"/>
        <family val="2"/>
      </rPr>
      <t>585846 - 2/00</t>
    </r>
  </si>
  <si>
    <r>
      <rPr>
        <sz val="8"/>
        <rFont val="Arial MT"/>
        <family val="2"/>
      </rPr>
      <t>585847 - 1/00</t>
    </r>
  </si>
  <si>
    <r>
      <rPr>
        <sz val="8"/>
        <rFont val="Arial MT"/>
        <family val="2"/>
      </rPr>
      <t>585847 - 2/00</t>
    </r>
  </si>
  <si>
    <r>
      <rPr>
        <sz val="8"/>
        <rFont val="Arial MT"/>
        <family val="2"/>
      </rPr>
      <t>585847 - 3/00</t>
    </r>
  </si>
  <si>
    <r>
      <rPr>
        <sz val="8"/>
        <rFont val="Arial MT"/>
        <family val="2"/>
      </rPr>
      <t>585847 - 4/00</t>
    </r>
  </si>
  <si>
    <r>
      <rPr>
        <sz val="8"/>
        <rFont val="Arial MT"/>
        <family val="2"/>
      </rPr>
      <t>585875 - 1/00</t>
    </r>
  </si>
  <si>
    <r>
      <rPr>
        <sz val="8"/>
        <rFont val="Arial MT"/>
        <family val="2"/>
      </rPr>
      <t>585875 - 2/00</t>
    </r>
  </si>
  <si>
    <r>
      <rPr>
        <sz val="8"/>
        <rFont val="Arial MT"/>
        <family val="2"/>
      </rPr>
      <t>585875 - 3/00</t>
    </r>
  </si>
  <si>
    <r>
      <rPr>
        <sz val="8"/>
        <rFont val="Arial MT"/>
        <family val="2"/>
      </rPr>
      <t>585875 - 4/00</t>
    </r>
  </si>
  <si>
    <r>
      <rPr>
        <sz val="8"/>
        <rFont val="Arial MT"/>
        <family val="2"/>
      </rPr>
      <t>585875 - 5/00</t>
    </r>
  </si>
  <si>
    <r>
      <rPr>
        <sz val="8"/>
        <rFont val="Arial MT"/>
        <family val="2"/>
      </rPr>
      <t>585875 - 6/00</t>
    </r>
  </si>
  <si>
    <r>
      <rPr>
        <sz val="8"/>
        <rFont val="Arial MT"/>
        <family val="2"/>
      </rPr>
      <t>587345 - 7/00</t>
    </r>
  </si>
  <si>
    <r>
      <rPr>
        <sz val="8"/>
        <rFont val="Arial MT"/>
        <family val="2"/>
      </rPr>
      <t>587345 - 8/00</t>
    </r>
  </si>
  <si>
    <r>
      <rPr>
        <sz val="8"/>
        <rFont val="Arial MT"/>
        <family val="2"/>
      </rPr>
      <t>589307 - 1/00</t>
    </r>
  </si>
  <si>
    <r>
      <rPr>
        <sz val="8"/>
        <rFont val="Arial MT"/>
        <family val="2"/>
      </rPr>
      <t>589307 - 2/00</t>
    </r>
  </si>
  <si>
    <r>
      <rPr>
        <sz val="8"/>
        <rFont val="Arial MT"/>
        <family val="2"/>
      </rPr>
      <t>589307 - 3/00</t>
    </r>
  </si>
  <si>
    <r>
      <rPr>
        <sz val="8"/>
        <rFont val="Arial MT"/>
        <family val="2"/>
      </rPr>
      <t>589308 - 1/00</t>
    </r>
  </si>
  <si>
    <r>
      <rPr>
        <sz val="8"/>
        <rFont val="Arial MT"/>
        <family val="2"/>
      </rPr>
      <t>589308 - 2/00</t>
    </r>
  </si>
  <si>
    <r>
      <rPr>
        <sz val="8"/>
        <rFont val="Arial MT"/>
        <family val="2"/>
      </rPr>
      <t>589936 - 1/00</t>
    </r>
  </si>
  <si>
    <r>
      <rPr>
        <sz val="8"/>
        <rFont val="Arial MT"/>
        <family val="2"/>
      </rPr>
      <t>23CA04</t>
    </r>
  </si>
  <si>
    <r>
      <rPr>
        <sz val="8"/>
        <rFont val="Arial MT"/>
        <family val="2"/>
      </rPr>
      <t>V501</t>
    </r>
  </si>
  <si>
    <r>
      <rPr>
        <sz val="8"/>
        <rFont val="Arial MT"/>
        <family val="2"/>
      </rPr>
      <t>589936 - 2/00</t>
    </r>
  </si>
  <si>
    <r>
      <rPr>
        <sz val="8"/>
        <rFont val="Arial MT"/>
        <family val="2"/>
      </rPr>
      <t>V601</t>
    </r>
  </si>
  <si>
    <r>
      <rPr>
        <sz val="8"/>
        <rFont val="Arial MT"/>
        <family val="2"/>
      </rPr>
      <t>589936 - 3/00</t>
    </r>
  </si>
  <si>
    <r>
      <rPr>
        <sz val="8"/>
        <rFont val="Arial MT"/>
        <family val="2"/>
      </rPr>
      <t>V340</t>
    </r>
  </si>
  <si>
    <r>
      <rPr>
        <sz val="8"/>
        <rFont val="Arial MT"/>
        <family val="2"/>
      </rPr>
      <t>589936 - 4/00</t>
    </r>
  </si>
  <si>
    <r>
      <rPr>
        <sz val="8"/>
        <rFont val="Arial MT"/>
        <family val="2"/>
      </rPr>
      <t>V701</t>
    </r>
  </si>
  <si>
    <r>
      <rPr>
        <sz val="8"/>
        <rFont val="Arial MT"/>
        <family val="2"/>
      </rPr>
      <t>589936 - 5/00</t>
    </r>
  </si>
  <si>
    <r>
      <rPr>
        <sz val="8"/>
        <rFont val="Arial MT"/>
        <family val="2"/>
      </rPr>
      <t>589936 - 6/00</t>
    </r>
  </si>
  <si>
    <r>
      <rPr>
        <sz val="8"/>
        <rFont val="Arial MT"/>
        <family val="2"/>
      </rPr>
      <t>589936 - 7/00</t>
    </r>
  </si>
  <si>
    <r>
      <rPr>
        <sz val="8"/>
        <rFont val="Arial MT"/>
        <family val="2"/>
      </rPr>
      <t>589936 - 8/00</t>
    </r>
  </si>
  <si>
    <r>
      <rPr>
        <sz val="8"/>
        <rFont val="Arial MT"/>
        <family val="2"/>
      </rPr>
      <t>592095 - 1/05</t>
    </r>
  </si>
  <si>
    <r>
      <rPr>
        <sz val="8"/>
        <rFont val="Arial MT"/>
        <family val="2"/>
      </rPr>
      <t>AC2R</t>
    </r>
  </si>
  <si>
    <r>
      <rPr>
        <sz val="8"/>
        <rFont val="Arial MT"/>
        <family val="2"/>
      </rPr>
      <t>23PI01</t>
    </r>
  </si>
  <si>
    <r>
      <rPr>
        <sz val="8"/>
        <rFont val="Arial MT"/>
        <family val="2"/>
      </rPr>
      <t>614503 - 1/03</t>
    </r>
  </si>
  <si>
    <r>
      <rPr>
        <sz val="8"/>
        <rFont val="Arial MT"/>
        <family val="2"/>
      </rPr>
      <t>21CA02</t>
    </r>
  </si>
  <si>
    <r>
      <rPr>
        <sz val="8"/>
        <rFont val="Arial MT"/>
        <family val="2"/>
      </rPr>
      <t>FBR</t>
    </r>
  </si>
  <si>
    <r>
      <rPr>
        <sz val="8"/>
        <rFont val="Arial MT"/>
        <family val="2"/>
      </rPr>
      <t>614503 - 12/02</t>
    </r>
  </si>
  <si>
    <r>
      <rPr>
        <sz val="8"/>
        <rFont val="Arial MT"/>
        <family val="2"/>
      </rPr>
      <t>614503 - 14/01</t>
    </r>
  </si>
  <si>
    <r>
      <rPr>
        <sz val="8"/>
        <rFont val="Arial MT"/>
        <family val="2"/>
      </rPr>
      <t>614503 - 15/01</t>
    </r>
  </si>
  <si>
    <r>
      <rPr>
        <sz val="8"/>
        <rFont val="Arial MT"/>
        <family val="2"/>
      </rPr>
      <t>614503 - 16/01</t>
    </r>
  </si>
  <si>
    <r>
      <rPr>
        <sz val="8"/>
        <rFont val="Arial MT"/>
        <family val="2"/>
      </rPr>
      <t>622434 - 1/00</t>
    </r>
  </si>
  <si>
    <r>
      <rPr>
        <sz val="8"/>
        <rFont val="Arial MT"/>
        <family val="2"/>
      </rPr>
      <t>CHARLES RIVER</t>
    </r>
  </si>
  <si>
    <r>
      <rPr>
        <sz val="8"/>
        <rFont val="Arial MT"/>
        <family val="2"/>
      </rPr>
      <t>SD</t>
    </r>
  </si>
  <si>
    <r>
      <rPr>
        <sz val="8"/>
        <rFont val="Arial MT"/>
        <family val="2"/>
      </rPr>
      <t>622434 - 2/00</t>
    </r>
  </si>
  <si>
    <r>
      <rPr>
        <sz val="8"/>
        <rFont val="Arial MT"/>
        <family val="2"/>
      </rPr>
      <t>622434 - 4/00</t>
    </r>
  </si>
  <si>
    <r>
      <rPr>
        <sz val="8"/>
        <rFont val="Arial MT"/>
        <family val="2"/>
      </rPr>
      <t>623153 - 1/00</t>
    </r>
  </si>
  <si>
    <r>
      <rPr>
        <sz val="8"/>
        <rFont val="Arial MT"/>
        <family val="2"/>
      </rPr>
      <t>24C421</t>
    </r>
  </si>
  <si>
    <r>
      <rPr>
        <sz val="8"/>
        <rFont val="Arial MT"/>
        <family val="2"/>
      </rPr>
      <t>623153 - 2/00</t>
    </r>
  </si>
  <si>
    <r>
      <rPr>
        <sz val="8"/>
        <rFont val="Arial MT"/>
        <family val="2"/>
      </rPr>
      <t>623153 - 3/00</t>
    </r>
  </si>
  <si>
    <r>
      <rPr>
        <sz val="8"/>
        <rFont val="Arial MT"/>
        <family val="2"/>
      </rPr>
      <t>623153 - 4/00</t>
    </r>
  </si>
  <si>
    <r>
      <rPr>
        <sz val="8"/>
        <rFont val="Arial MT"/>
        <family val="2"/>
      </rPr>
      <t>623153 - 5/00</t>
    </r>
  </si>
  <si>
    <r>
      <rPr>
        <sz val="8"/>
        <rFont val="Arial MT"/>
        <family val="2"/>
      </rPr>
      <t>623153 - 6/00</t>
    </r>
  </si>
  <si>
    <r>
      <rPr>
        <sz val="8"/>
        <rFont val="Arial MT"/>
        <family val="2"/>
      </rPr>
      <t>623153 - 7/00</t>
    </r>
  </si>
  <si>
    <r>
      <rPr>
        <sz val="8"/>
        <rFont val="Arial MT"/>
        <family val="2"/>
      </rPr>
      <t>623153 - 8/00</t>
    </r>
  </si>
  <si>
    <r>
      <rPr>
        <sz val="8"/>
        <rFont val="Arial MT"/>
        <family val="2"/>
      </rPr>
      <t>623153 - 9/00</t>
    </r>
  </si>
  <si>
    <r>
      <rPr>
        <sz val="8"/>
        <rFont val="Arial MT"/>
        <family val="2"/>
      </rPr>
      <t>623153 - 10/00</t>
    </r>
  </si>
  <si>
    <r>
      <rPr>
        <sz val="8"/>
        <rFont val="Arial MT"/>
        <family val="2"/>
      </rPr>
      <t>623153 - 11/00</t>
    </r>
  </si>
  <si>
    <r>
      <rPr>
        <sz val="8"/>
        <rFont val="Arial MT"/>
        <family val="2"/>
      </rPr>
      <t>623153 - 12/00</t>
    </r>
  </si>
  <si>
    <r>
      <rPr>
        <sz val="8"/>
        <rFont val="Arial MT"/>
        <family val="2"/>
      </rPr>
      <t>623153 - 13/00</t>
    </r>
  </si>
  <si>
    <r>
      <rPr>
        <sz val="8"/>
        <rFont val="Arial MT"/>
        <family val="2"/>
      </rPr>
      <t>623153 - 14/00</t>
    </r>
  </si>
  <si>
    <r>
      <rPr>
        <sz val="8"/>
        <rFont val="Arial MT"/>
        <family val="2"/>
      </rPr>
      <t>627391 - 1/00</t>
    </r>
  </si>
  <si>
    <r>
      <rPr>
        <sz val="8"/>
        <rFont val="Arial MT"/>
        <family val="2"/>
      </rPr>
      <t>627391 - 2/00</t>
    </r>
  </si>
  <si>
    <r>
      <rPr>
        <sz val="8"/>
        <rFont val="Arial MT"/>
        <family val="2"/>
      </rPr>
      <t>627391 - 3/00</t>
    </r>
  </si>
  <si>
    <r>
      <rPr>
        <sz val="8"/>
        <rFont val="Arial MT"/>
        <family val="2"/>
      </rPr>
      <t>627391 - 4/00</t>
    </r>
  </si>
  <si>
    <r>
      <rPr>
        <sz val="8"/>
        <rFont val="Arial MT"/>
        <family val="2"/>
      </rPr>
      <t>627391 - 5/00</t>
    </r>
  </si>
  <si>
    <r>
      <rPr>
        <sz val="8"/>
        <rFont val="Arial MT"/>
        <family val="2"/>
      </rPr>
      <t>627391 - 6/00</t>
    </r>
  </si>
  <si>
    <r>
      <rPr>
        <sz val="8"/>
        <rFont val="Arial MT"/>
        <family val="2"/>
      </rPr>
      <t>627391 - 7/00</t>
    </r>
  </si>
  <si>
    <r>
      <rPr>
        <sz val="8"/>
        <rFont val="Arial MT"/>
        <family val="2"/>
      </rPr>
      <t>628079 - 1/00</t>
    </r>
  </si>
  <si>
    <r>
      <rPr>
        <sz val="8"/>
        <rFont val="Arial MT"/>
        <family val="2"/>
      </rPr>
      <t>ENOVACOM</t>
    </r>
  </si>
  <si>
    <r>
      <rPr>
        <sz val="8"/>
        <rFont val="Arial MT"/>
        <family val="2"/>
      </rPr>
      <t>23CA03</t>
    </r>
  </si>
  <si>
    <r>
      <rPr>
        <sz val="8"/>
        <rFont val="Arial MT"/>
        <family val="2"/>
      </rPr>
      <t>628079 - 2/00</t>
    </r>
  </si>
  <si>
    <r>
      <rPr>
        <sz val="8"/>
        <rFont val="Arial MT"/>
        <family val="2"/>
      </rPr>
      <t>628079 - 4/00</t>
    </r>
  </si>
  <si>
    <r>
      <rPr>
        <sz val="8"/>
        <rFont val="Arial MT"/>
        <family val="2"/>
      </rPr>
      <t>628079 - 5/00</t>
    </r>
  </si>
  <si>
    <r>
      <rPr>
        <sz val="8"/>
        <rFont val="Arial MT"/>
        <family val="2"/>
      </rPr>
      <t>628079 - 6/00</t>
    </r>
  </si>
  <si>
    <r>
      <rPr>
        <sz val="8"/>
        <rFont val="Arial MT"/>
        <family val="2"/>
      </rPr>
      <t>628079 - 7/00</t>
    </r>
  </si>
  <si>
    <r>
      <rPr>
        <sz val="8"/>
        <rFont val="Arial MT"/>
        <family val="2"/>
      </rPr>
      <t>628079 - 8/00</t>
    </r>
  </si>
  <si>
    <r>
      <rPr>
        <sz val="8"/>
        <rFont val="Arial MT"/>
        <family val="2"/>
      </rPr>
      <t>628079 - 9/00</t>
    </r>
  </si>
  <si>
    <r>
      <rPr>
        <sz val="8"/>
        <rFont val="Arial MT"/>
        <family val="2"/>
      </rPr>
      <t>628079 - 10/00</t>
    </r>
  </si>
  <si>
    <r>
      <rPr>
        <sz val="8"/>
        <rFont val="Arial MT"/>
        <family val="2"/>
      </rPr>
      <t>628079 - 11/00</t>
    </r>
  </si>
  <si>
    <r>
      <rPr>
        <sz val="8"/>
        <rFont val="Arial MT"/>
        <family val="2"/>
      </rPr>
      <t>628079 - 12/00</t>
    </r>
  </si>
  <si>
    <r>
      <rPr>
        <sz val="8"/>
        <rFont val="Arial MT"/>
        <family val="2"/>
      </rPr>
      <t>628079 - 13/00</t>
    </r>
  </si>
  <si>
    <r>
      <rPr>
        <sz val="8"/>
        <rFont val="Arial MT"/>
        <family val="2"/>
      </rPr>
      <t>628318 - 1/00</t>
    </r>
  </si>
  <si>
    <r>
      <rPr>
        <sz val="8"/>
        <rFont val="Arial MT"/>
        <family val="2"/>
      </rPr>
      <t>I2A</t>
    </r>
  </si>
  <si>
    <r>
      <rPr>
        <sz val="8"/>
        <rFont val="Arial MT"/>
        <family val="2"/>
      </rPr>
      <t>24UN07</t>
    </r>
  </si>
  <si>
    <r>
      <rPr>
        <sz val="8"/>
        <rFont val="Arial MT"/>
        <family val="2"/>
      </rPr>
      <t>628318 - 2/00</t>
    </r>
  </si>
  <si>
    <r>
      <rPr>
        <sz val="8"/>
        <rFont val="Arial MT"/>
        <family val="2"/>
      </rPr>
      <t>628318 - 3/00</t>
    </r>
  </si>
  <si>
    <r>
      <rPr>
        <sz val="8"/>
        <rFont val="Arial MT"/>
        <family val="2"/>
      </rPr>
      <t>628318 - 4/00</t>
    </r>
  </si>
  <si>
    <r>
      <rPr>
        <sz val="8"/>
        <rFont val="Arial MT"/>
        <family val="2"/>
      </rPr>
      <t>628400 - 1/00</t>
    </r>
  </si>
  <si>
    <r>
      <rPr>
        <sz val="8"/>
        <rFont val="Arial MT"/>
        <family val="2"/>
      </rPr>
      <t>628400 - 2/00</t>
    </r>
  </si>
  <si>
    <r>
      <rPr>
        <sz val="8"/>
        <rFont val="Arial MT"/>
        <family val="2"/>
      </rPr>
      <t>628400 - 3/00</t>
    </r>
  </si>
  <si>
    <r>
      <rPr>
        <sz val="8"/>
        <rFont val="Arial MT"/>
        <family val="2"/>
      </rPr>
      <t>628400 - 4/00</t>
    </r>
  </si>
  <si>
    <r>
      <rPr>
        <sz val="8"/>
        <rFont val="Arial MT"/>
        <family val="2"/>
      </rPr>
      <t>628400 - 5/00</t>
    </r>
  </si>
  <si>
    <r>
      <rPr>
        <sz val="8"/>
        <rFont val="Arial MT"/>
        <family val="2"/>
      </rPr>
      <t>628400 - 6/00</t>
    </r>
  </si>
  <si>
    <r>
      <rPr>
        <sz val="8"/>
        <rFont val="Arial MT"/>
        <family val="2"/>
      </rPr>
      <t>628400 - 7/00</t>
    </r>
  </si>
  <si>
    <r>
      <rPr>
        <sz val="8"/>
        <rFont val="Arial MT"/>
        <family val="2"/>
      </rPr>
      <t>628400 - 8/00</t>
    </r>
  </si>
  <si>
    <r>
      <rPr>
        <sz val="8"/>
        <rFont val="Arial MT"/>
        <family val="2"/>
      </rPr>
      <t>628400 - 9/00</t>
    </r>
  </si>
  <si>
    <r>
      <rPr>
        <sz val="8"/>
        <rFont val="Arial MT"/>
        <family val="2"/>
      </rPr>
      <t>628400 - 10/00</t>
    </r>
  </si>
  <si>
    <r>
      <rPr>
        <sz val="8"/>
        <rFont val="Arial MT"/>
        <family val="2"/>
      </rPr>
      <t>628400 - 11/00</t>
    </r>
  </si>
  <si>
    <r>
      <rPr>
        <sz val="8"/>
        <rFont val="Arial MT"/>
        <family val="2"/>
      </rPr>
      <t>628400 - 12/00</t>
    </r>
  </si>
  <si>
    <r>
      <rPr>
        <sz val="8"/>
        <rFont val="Arial MT"/>
        <family val="2"/>
      </rPr>
      <t>628400 - 13/00</t>
    </r>
  </si>
  <si>
    <r>
      <rPr>
        <sz val="8"/>
        <rFont val="Arial MT"/>
        <family val="2"/>
      </rPr>
      <t>628400 - 14/00</t>
    </r>
  </si>
  <si>
    <r>
      <rPr>
        <sz val="8"/>
        <rFont val="Arial MT"/>
        <family val="2"/>
      </rPr>
      <t>628400 - 15/00</t>
    </r>
  </si>
  <si>
    <r>
      <rPr>
        <sz val="8"/>
        <rFont val="Arial MT"/>
        <family val="2"/>
      </rPr>
      <t>628400 - 16/00</t>
    </r>
  </si>
  <si>
    <r>
      <rPr>
        <sz val="8"/>
        <rFont val="Arial MT"/>
        <family val="2"/>
      </rPr>
      <t>628400 - 17/00</t>
    </r>
  </si>
  <si>
    <r>
      <rPr>
        <sz val="8"/>
        <rFont val="Arial MT"/>
        <family val="2"/>
      </rPr>
      <t>628664 - 1</t>
    </r>
  </si>
  <si>
    <r>
      <rPr>
        <sz val="8"/>
        <rFont val="Arial MT"/>
        <family val="2"/>
      </rPr>
      <t>1/00</t>
    </r>
  </si>
  <si>
    <r>
      <rPr>
        <sz val="8"/>
        <rFont val="Arial MT"/>
        <family val="2"/>
      </rPr>
      <t>1/01</t>
    </r>
  </si>
  <si>
    <r>
      <rPr>
        <sz val="8"/>
        <rFont val="Arial MT"/>
        <family val="2"/>
      </rPr>
      <t>628664 - 2/00</t>
    </r>
  </si>
  <si>
    <r>
      <rPr>
        <sz val="8"/>
        <rFont val="Arial MT"/>
        <family val="2"/>
      </rPr>
      <t>628664 - 2/01</t>
    </r>
  </si>
  <si>
    <r>
      <rPr>
        <sz val="8"/>
        <rFont val="Arial MT"/>
        <family val="2"/>
      </rPr>
      <t>628664 - 3/00</t>
    </r>
  </si>
  <si>
    <r>
      <rPr>
        <sz val="8"/>
        <rFont val="Arial MT"/>
        <family val="2"/>
      </rPr>
      <t>628664 - 3/01</t>
    </r>
  </si>
  <si>
    <r>
      <rPr>
        <sz val="8"/>
        <rFont val="Arial MT"/>
        <family val="2"/>
      </rPr>
      <t>628664 - 4/00</t>
    </r>
  </si>
  <si>
    <r>
      <rPr>
        <sz val="8"/>
        <rFont val="Arial MT"/>
        <family val="2"/>
      </rPr>
      <t>628664 - 4/01</t>
    </r>
  </si>
  <si>
    <r>
      <rPr>
        <sz val="8"/>
        <rFont val="Arial MT"/>
        <family val="2"/>
      </rPr>
      <t>629430 - 1/01</t>
    </r>
  </si>
  <si>
    <r>
      <rPr>
        <sz val="8"/>
        <rFont val="Arial MT"/>
        <family val="2"/>
      </rPr>
      <t>COMPUTACENTER</t>
    </r>
  </si>
  <si>
    <r>
      <rPr>
        <sz val="8"/>
        <rFont val="Arial MT"/>
        <family val="2"/>
      </rPr>
      <t>24RE06</t>
    </r>
  </si>
  <si>
    <r>
      <rPr>
        <sz val="8"/>
        <rFont val="Arial MT"/>
        <family val="2"/>
      </rPr>
      <t>632087 - 1/00</t>
    </r>
  </si>
  <si>
    <r>
      <rPr>
        <sz val="8"/>
        <rFont val="Arial MT"/>
        <family val="2"/>
      </rPr>
      <t>24UG01</t>
    </r>
  </si>
  <si>
    <r>
      <rPr>
        <sz val="8"/>
        <rFont val="Arial MT"/>
        <family val="2"/>
      </rPr>
      <t>656488 - 1/02</t>
    </r>
  </si>
  <si>
    <r>
      <rPr>
        <sz val="8"/>
        <rFont val="Arial MT"/>
        <family val="2"/>
      </rPr>
      <t>658254 - 6/00</t>
    </r>
  </si>
  <si>
    <r>
      <rPr>
        <sz val="8"/>
        <rFont val="Arial MT"/>
        <family val="2"/>
      </rPr>
      <t>ML</t>
    </r>
  </si>
  <si>
    <r>
      <rPr>
        <sz val="8"/>
        <rFont val="Arial MT"/>
        <family val="2"/>
      </rPr>
      <t>25.07</t>
    </r>
  </si>
  <si>
    <r>
      <rPr>
        <sz val="8"/>
        <rFont val="Arial MT"/>
        <family val="2"/>
      </rPr>
      <t>658254 - 12/00</t>
    </r>
  </si>
  <si>
    <r>
      <rPr>
        <sz val="8"/>
        <rFont val="Arial MT"/>
        <family val="2"/>
      </rPr>
      <t>661322 - 3/00</t>
    </r>
  </si>
  <si>
    <r>
      <rPr>
        <sz val="8"/>
        <rFont val="Arial MT"/>
        <family val="2"/>
      </rPr>
      <t>662042 - 1/01</t>
    </r>
  </si>
  <si>
    <r>
      <rPr>
        <sz val="8"/>
        <rFont val="Arial MT"/>
        <family val="2"/>
      </rPr>
      <t>OLYMPUS</t>
    </r>
  </si>
  <si>
    <r>
      <rPr>
        <sz val="8"/>
        <rFont val="Arial MT"/>
        <family val="2"/>
      </rPr>
      <t>24UN09</t>
    </r>
  </si>
  <si>
    <r>
      <rPr>
        <sz val="8"/>
        <rFont val="Arial MT"/>
        <family val="2"/>
      </rPr>
      <t>662043 - 1/01</t>
    </r>
  </si>
  <si>
    <r>
      <rPr>
        <sz val="8"/>
        <rFont val="Arial MT"/>
        <family val="2"/>
      </rPr>
      <t>662043 - 2/01</t>
    </r>
  </si>
  <si>
    <r>
      <rPr>
        <sz val="8"/>
        <rFont val="Arial MT"/>
        <family val="2"/>
      </rPr>
      <t>662043 - 3/01</t>
    </r>
  </si>
  <si>
    <r>
      <rPr>
        <sz val="8"/>
        <rFont val="Arial MT"/>
        <family val="2"/>
      </rPr>
      <t>662043 - 4/01</t>
    </r>
  </si>
  <si>
    <r>
      <rPr>
        <sz val="8"/>
        <rFont val="Arial MT"/>
        <family val="2"/>
      </rPr>
      <t>662087 - 1/00</t>
    </r>
  </si>
  <si>
    <r>
      <rPr>
        <sz val="8"/>
        <rFont val="Arial MT"/>
        <family val="2"/>
      </rPr>
      <t>TOUS ERGO SELF</t>
    </r>
  </si>
  <si>
    <r>
      <rPr>
        <sz val="8"/>
        <rFont val="Arial MT"/>
        <family val="2"/>
      </rPr>
      <t>662620 - 1/00</t>
    </r>
  </si>
  <si>
    <r>
      <rPr>
        <sz val="8"/>
        <rFont val="Arial MT"/>
        <family val="2"/>
      </rPr>
      <t>664439 - 1/00</t>
    </r>
  </si>
  <si>
    <r>
      <rPr>
        <sz val="8"/>
        <rFont val="Arial MT"/>
        <family val="2"/>
      </rPr>
      <t>SIEMENS SAS</t>
    </r>
  </si>
  <si>
    <r>
      <rPr>
        <sz val="8"/>
        <rFont val="Arial MT"/>
        <family val="2"/>
      </rPr>
      <t>664439 - 2/00</t>
    </r>
  </si>
  <si>
    <r>
      <rPr>
        <sz val="8"/>
        <rFont val="Arial MT"/>
        <family val="2"/>
      </rPr>
      <t>664439 - 3/00</t>
    </r>
  </si>
  <si>
    <r>
      <rPr>
        <sz val="8"/>
        <rFont val="Arial MT"/>
        <family val="2"/>
      </rPr>
      <t>664439 - 4/00</t>
    </r>
  </si>
  <si>
    <r>
      <rPr>
        <sz val="8"/>
        <rFont val="Arial MT"/>
        <family val="2"/>
      </rPr>
      <t>664439 - 6/00</t>
    </r>
  </si>
  <si>
    <r>
      <rPr>
        <sz val="8"/>
        <rFont val="Arial MT"/>
        <family val="2"/>
      </rPr>
      <t>665571 - 1/03</t>
    </r>
  </si>
  <si>
    <r>
      <rPr>
        <sz val="8"/>
        <rFont val="Arial MT"/>
        <family val="2"/>
      </rPr>
      <t>E.S.I</t>
    </r>
  </si>
  <si>
    <r>
      <rPr>
        <sz val="8"/>
        <rFont val="Arial MT"/>
        <family val="2"/>
      </rPr>
      <t>23CA09</t>
    </r>
  </si>
  <si>
    <r>
      <rPr>
        <sz val="8"/>
        <rFont val="Arial MT"/>
        <family val="2"/>
      </rPr>
      <t>V110</t>
    </r>
  </si>
  <si>
    <r>
      <rPr>
        <sz val="8"/>
        <rFont val="Arial MT"/>
        <family val="2"/>
      </rPr>
      <t>666417 - 1/00</t>
    </r>
  </si>
  <si>
    <r>
      <rPr>
        <sz val="8"/>
        <rFont val="Arial MT"/>
        <family val="2"/>
      </rPr>
      <t>666417 - 2/00</t>
    </r>
  </si>
  <si>
    <r>
      <rPr>
        <sz val="8"/>
        <rFont val="Arial MT"/>
        <family val="2"/>
      </rPr>
      <t>667673 - 1/00</t>
    </r>
  </si>
  <si>
    <r>
      <rPr>
        <sz val="8"/>
        <rFont val="Arial MT"/>
        <family val="2"/>
      </rPr>
      <t>INEO INDUSTRIE ET</t>
    </r>
  </si>
  <si>
    <r>
      <rPr>
        <sz val="8"/>
        <rFont val="Arial MT"/>
        <family val="2"/>
      </rPr>
      <t>23FC74</t>
    </r>
  </si>
  <si>
    <r>
      <rPr>
        <sz val="8"/>
        <rFont val="Arial MT"/>
        <family val="2"/>
      </rPr>
      <t>34.01</t>
    </r>
  </si>
  <si>
    <r>
      <rPr>
        <sz val="8"/>
        <rFont val="Arial MT"/>
        <family val="2"/>
      </rPr>
      <t>668554 - 1/00</t>
    </r>
  </si>
  <si>
    <r>
      <rPr>
        <sz val="8"/>
        <rFont val="Arial MT"/>
        <family val="2"/>
      </rPr>
      <t>67.06</t>
    </r>
  </si>
  <si>
    <r>
      <rPr>
        <sz val="8"/>
        <rFont val="Arial MT"/>
        <family val="2"/>
      </rPr>
      <t>669801 - 1/01</t>
    </r>
  </si>
  <si>
    <r>
      <rPr>
        <sz val="8"/>
        <rFont val="Arial MT"/>
        <family val="2"/>
      </rPr>
      <t>3SI INFORMATIQUE</t>
    </r>
  </si>
  <si>
    <r>
      <rPr>
        <sz val="8"/>
        <rFont val="Arial MT"/>
        <family val="2"/>
      </rPr>
      <t>669801 - 2/01</t>
    </r>
  </si>
  <si>
    <r>
      <rPr>
        <sz val="8"/>
        <rFont val="Arial MT"/>
        <family val="2"/>
      </rPr>
      <t>669801 - 3/01</t>
    </r>
  </si>
  <si>
    <r>
      <rPr>
        <sz val="8"/>
        <rFont val="Arial MT"/>
        <family val="2"/>
      </rPr>
      <t>669801 - 4/00</t>
    </r>
  </si>
  <si>
    <r>
      <rPr>
        <sz val="8"/>
        <rFont val="Arial MT"/>
        <family val="2"/>
      </rPr>
      <t>669803 - 1/01</t>
    </r>
  </si>
  <si>
    <r>
      <rPr>
        <sz val="8"/>
        <rFont val="Arial MT"/>
        <family val="2"/>
      </rPr>
      <t>669803 - 2/01</t>
    </r>
  </si>
  <si>
    <r>
      <rPr>
        <sz val="8"/>
        <rFont val="Arial MT"/>
        <family val="2"/>
      </rPr>
      <t>669803 - 3/01</t>
    </r>
  </si>
  <si>
    <r>
      <rPr>
        <sz val="8"/>
        <rFont val="Arial MT"/>
        <family val="2"/>
      </rPr>
      <t>669803 - 4/01</t>
    </r>
  </si>
  <si>
    <r>
      <rPr>
        <sz val="8"/>
        <rFont val="Arial MT"/>
        <family val="2"/>
      </rPr>
      <t>670271 - 1</t>
    </r>
  </si>
  <si>
    <r>
      <rPr>
        <sz val="8"/>
        <rFont val="Arial MT"/>
        <family val="2"/>
      </rPr>
      <t>V100</t>
    </r>
  </si>
  <si>
    <r>
      <rPr>
        <sz val="8"/>
        <rFont val="Arial MT"/>
        <family val="2"/>
      </rPr>
      <t>670271 - 2</t>
    </r>
  </si>
  <si>
    <r>
      <rPr>
        <sz val="8"/>
        <rFont val="Arial MT"/>
        <family val="2"/>
      </rPr>
      <t>2/00</t>
    </r>
  </si>
  <si>
    <r>
      <rPr>
        <sz val="8"/>
        <rFont val="Arial MT"/>
        <family val="2"/>
      </rPr>
      <t>2/01</t>
    </r>
  </si>
  <si>
    <r>
      <rPr>
        <sz val="8"/>
        <rFont val="Arial MT"/>
        <family val="2"/>
      </rPr>
      <t>670271 - 3</t>
    </r>
  </si>
  <si>
    <r>
      <rPr>
        <sz val="8"/>
        <rFont val="Arial MT"/>
        <family val="2"/>
      </rPr>
      <t>3/00</t>
    </r>
  </si>
  <si>
    <r>
      <rPr>
        <sz val="8"/>
        <rFont val="Arial MT"/>
        <family val="2"/>
      </rPr>
      <t>3/01</t>
    </r>
  </si>
  <si>
    <r>
      <rPr>
        <sz val="8"/>
        <rFont val="Arial MT"/>
        <family val="2"/>
      </rPr>
      <t>670271 - 4</t>
    </r>
  </si>
  <si>
    <r>
      <rPr>
        <sz val="8"/>
        <rFont val="Arial MT"/>
        <family val="2"/>
      </rPr>
      <t>4/00</t>
    </r>
  </si>
  <si>
    <r>
      <rPr>
        <sz val="8"/>
        <rFont val="Arial MT"/>
        <family val="2"/>
      </rPr>
      <t>4/01</t>
    </r>
  </si>
  <si>
    <r>
      <rPr>
        <sz val="8"/>
        <rFont val="Arial MT"/>
        <family val="2"/>
      </rPr>
      <t>670271 - 5</t>
    </r>
  </si>
  <si>
    <r>
      <rPr>
        <sz val="8"/>
        <rFont val="Arial MT"/>
        <family val="2"/>
      </rPr>
      <t>5/00</t>
    </r>
  </si>
  <si>
    <r>
      <rPr>
        <sz val="8"/>
        <rFont val="Arial MT"/>
        <family val="2"/>
      </rPr>
      <t>5/01</t>
    </r>
  </si>
  <si>
    <r>
      <rPr>
        <sz val="8"/>
        <rFont val="Arial MT"/>
        <family val="2"/>
      </rPr>
      <t>670271 - 6</t>
    </r>
  </si>
  <si>
    <r>
      <rPr>
        <sz val="8"/>
        <rFont val="Arial MT"/>
        <family val="2"/>
      </rPr>
      <t>6/00</t>
    </r>
  </si>
  <si>
    <r>
      <rPr>
        <sz val="8"/>
        <rFont val="Arial MT"/>
        <family val="2"/>
      </rPr>
      <t>6/01</t>
    </r>
  </si>
  <si>
    <r>
      <rPr>
        <sz val="8"/>
        <rFont val="Arial MT"/>
        <family val="2"/>
      </rPr>
      <t>670271 - 7</t>
    </r>
  </si>
  <si>
    <r>
      <rPr>
        <sz val="8"/>
        <rFont val="Arial MT"/>
        <family val="2"/>
      </rPr>
      <t>7/00</t>
    </r>
  </si>
  <si>
    <r>
      <rPr>
        <sz val="8"/>
        <rFont val="Arial MT"/>
        <family val="2"/>
      </rPr>
      <t>7/01</t>
    </r>
  </si>
  <si>
    <r>
      <rPr>
        <sz val="8"/>
        <rFont val="Arial MT"/>
        <family val="2"/>
      </rPr>
      <t>670271 - 8/00</t>
    </r>
  </si>
  <si>
    <r>
      <rPr>
        <sz val="8"/>
        <rFont val="Arial MT"/>
        <family val="2"/>
      </rPr>
      <t>670271 - 9/00</t>
    </r>
  </si>
  <si>
    <r>
      <rPr>
        <sz val="8"/>
        <rFont val="Arial MT"/>
        <family val="2"/>
      </rPr>
      <t>670271 - 10/00</t>
    </r>
  </si>
  <si>
    <r>
      <rPr>
        <sz val="8"/>
        <rFont val="Arial MT"/>
        <family val="2"/>
      </rPr>
      <t>670673 - 1/01</t>
    </r>
  </si>
  <si>
    <r>
      <rPr>
        <sz val="8"/>
        <rFont val="Arial MT"/>
        <family val="2"/>
      </rPr>
      <t>BNP PARIBAS LEASING</t>
    </r>
  </si>
  <si>
    <r>
      <rPr>
        <sz val="8"/>
        <rFont val="Arial MT"/>
        <family val="2"/>
      </rPr>
      <t>24UN12</t>
    </r>
  </si>
  <si>
    <r>
      <rPr>
        <sz val="8"/>
        <rFont val="Arial MT"/>
        <family val="2"/>
      </rPr>
      <t>671119 - 1/01</t>
    </r>
  </si>
  <si>
    <r>
      <rPr>
        <sz val="8"/>
        <rFont val="Arial MT"/>
        <family val="2"/>
      </rPr>
      <t>SANEI ELEVATORS</t>
    </r>
  </si>
  <si>
    <r>
      <rPr>
        <sz val="8"/>
        <rFont val="Arial MT"/>
        <family val="2"/>
      </rPr>
      <t>24TX02</t>
    </r>
  </si>
  <si>
    <r>
      <rPr>
        <sz val="8"/>
        <rFont val="Arial MT"/>
        <family val="2"/>
      </rPr>
      <t>671262 - 1/01</t>
    </r>
  </si>
  <si>
    <r>
      <rPr>
        <sz val="8"/>
        <rFont val="Arial MT"/>
        <family val="2"/>
      </rPr>
      <t>ECONOCOM FRANCE SAS</t>
    </r>
  </si>
  <si>
    <r>
      <rPr>
        <sz val="8"/>
        <rFont val="Arial MT"/>
        <family val="2"/>
      </rPr>
      <t>671262 - 2/01</t>
    </r>
  </si>
  <si>
    <r>
      <rPr>
        <sz val="8"/>
        <rFont val="Arial MT"/>
        <family val="2"/>
      </rPr>
      <t>671262 - 3/01</t>
    </r>
  </si>
  <si>
    <r>
      <rPr>
        <sz val="8"/>
        <rFont val="Arial MT"/>
        <family val="2"/>
      </rPr>
      <t>671262 - 4/01</t>
    </r>
  </si>
  <si>
    <r>
      <rPr>
        <sz val="8"/>
        <rFont val="Arial MT"/>
        <family val="2"/>
      </rPr>
      <t>671262 - 5/01</t>
    </r>
  </si>
  <si>
    <r>
      <rPr>
        <sz val="8"/>
        <rFont val="Arial MT"/>
        <family val="2"/>
      </rPr>
      <t>671263 - 1/00</t>
    </r>
  </si>
  <si>
    <r>
      <rPr>
        <sz val="8"/>
        <rFont val="Arial MT"/>
        <family val="2"/>
      </rPr>
      <t>NISSHA MEDICAL</t>
    </r>
  </si>
  <si>
    <r>
      <rPr>
        <sz val="8"/>
        <rFont val="Arial MT"/>
        <family val="2"/>
      </rPr>
      <t>671263 - 2/00</t>
    </r>
  </si>
  <si>
    <r>
      <rPr>
        <sz val="8"/>
        <rFont val="Arial MT"/>
        <family val="2"/>
      </rPr>
      <t>671263 - 3/00</t>
    </r>
  </si>
  <si>
    <r>
      <rPr>
        <sz val="8"/>
        <rFont val="Arial MT"/>
        <family val="2"/>
      </rPr>
      <t>671263 - 4/00</t>
    </r>
  </si>
  <si>
    <r>
      <rPr>
        <sz val="8"/>
        <rFont val="Arial MT"/>
        <family val="2"/>
      </rPr>
      <t>671263 - 5/00</t>
    </r>
  </si>
  <si>
    <r>
      <rPr>
        <sz val="8"/>
        <rFont val="Arial MT"/>
        <family val="2"/>
      </rPr>
      <t>671263 - 6/00</t>
    </r>
  </si>
  <si>
    <r>
      <rPr>
        <sz val="8"/>
        <rFont val="Arial MT"/>
        <family val="2"/>
      </rPr>
      <t>671263 - 7/00</t>
    </r>
  </si>
  <si>
    <r>
      <rPr>
        <sz val="8"/>
        <rFont val="Arial MT"/>
        <family val="2"/>
      </rPr>
      <t>671265 - 1/00</t>
    </r>
  </si>
  <si>
    <r>
      <rPr>
        <sz val="8"/>
        <rFont val="Arial MT"/>
        <family val="2"/>
      </rPr>
      <t>21CA01</t>
    </r>
  </si>
  <si>
    <r>
      <rPr>
        <sz val="8"/>
        <rFont val="Arial MT"/>
        <family val="2"/>
      </rPr>
      <t>25.02</t>
    </r>
  </si>
  <si>
    <r>
      <rPr>
        <sz val="8"/>
        <rFont val="Arial MT"/>
        <family val="2"/>
      </rPr>
      <t>671351 - 1/00</t>
    </r>
  </si>
  <si>
    <r>
      <rPr>
        <sz val="8"/>
        <rFont val="Arial MT"/>
        <family val="2"/>
      </rPr>
      <t>671353 - 1/03</t>
    </r>
  </si>
  <si>
    <r>
      <rPr>
        <sz val="8"/>
        <rFont val="Arial MT"/>
        <family val="2"/>
      </rPr>
      <t>671354 - 1/03</t>
    </r>
  </si>
  <si>
    <r>
      <rPr>
        <sz val="8"/>
        <rFont val="Arial MT"/>
        <family val="2"/>
      </rPr>
      <t>ECONOCOM PRODUCT</t>
    </r>
  </si>
  <si>
    <r>
      <rPr>
        <sz val="8"/>
        <rFont val="Arial MT"/>
        <family val="2"/>
      </rPr>
      <t>21CA04</t>
    </r>
  </si>
  <si>
    <r>
      <rPr>
        <sz val="8"/>
        <rFont val="Arial MT"/>
        <family val="2"/>
      </rPr>
      <t>671355 - 1/00</t>
    </r>
  </si>
  <si>
    <r>
      <rPr>
        <sz val="8"/>
        <rFont val="Arial MT"/>
        <family val="2"/>
      </rPr>
      <t>671355 - 2/00</t>
    </r>
  </si>
  <si>
    <r>
      <rPr>
        <sz val="8"/>
        <rFont val="Arial MT"/>
        <family val="2"/>
      </rPr>
      <t>671355 - 3/00</t>
    </r>
  </si>
  <si>
    <r>
      <rPr>
        <sz val="8"/>
        <rFont val="Arial MT"/>
        <family val="2"/>
      </rPr>
      <t>671355 - 4/00</t>
    </r>
  </si>
  <si>
    <r>
      <rPr>
        <sz val="8"/>
        <rFont val="Arial MT"/>
        <family val="2"/>
      </rPr>
      <t>671832 - 1/00</t>
    </r>
  </si>
  <si>
    <r>
      <rPr>
        <sz val="8"/>
        <rFont val="Arial MT"/>
        <family val="2"/>
      </rPr>
      <t>87.07</t>
    </r>
  </si>
  <si>
    <r>
      <rPr>
        <sz val="8"/>
        <rFont val="Arial MT"/>
        <family val="2"/>
      </rPr>
      <t>671875 - 1/01</t>
    </r>
  </si>
  <si>
    <r>
      <rPr>
        <sz val="8"/>
        <rFont val="Arial MT"/>
        <family val="2"/>
      </rPr>
      <t>671948 - 1/00</t>
    </r>
  </si>
  <si>
    <r>
      <rPr>
        <sz val="8"/>
        <rFont val="Arial MT"/>
        <family val="2"/>
      </rPr>
      <t>671948 - 2/00</t>
    </r>
  </si>
  <si>
    <r>
      <rPr>
        <sz val="8"/>
        <rFont val="Arial MT"/>
        <family val="2"/>
      </rPr>
      <t>672670 - 1/00</t>
    </r>
  </si>
  <si>
    <r>
      <rPr>
        <sz val="8"/>
        <rFont val="Arial MT"/>
        <family val="2"/>
      </rPr>
      <t>672672 - 1/00</t>
    </r>
  </si>
  <si>
    <r>
      <rPr>
        <sz val="8"/>
        <rFont val="Arial MT"/>
        <family val="2"/>
      </rPr>
      <t>672749 - 1/00</t>
    </r>
  </si>
  <si>
    <r>
      <rPr>
        <sz val="8"/>
        <rFont val="Arial MT"/>
        <family val="2"/>
      </rPr>
      <t>EQUIP'BURO</t>
    </r>
  </si>
  <si>
    <r>
      <rPr>
        <sz val="8"/>
        <rFont val="Arial MT"/>
        <family val="2"/>
      </rPr>
      <t>672766 - 1/00</t>
    </r>
  </si>
  <si>
    <r>
      <rPr>
        <sz val="8"/>
        <rFont val="Arial MT"/>
        <family val="2"/>
      </rPr>
      <t>672766 - 2/00</t>
    </r>
  </si>
  <si>
    <r>
      <rPr>
        <sz val="8"/>
        <rFont val="Arial MT"/>
        <family val="2"/>
      </rPr>
      <t>672766 - 3/00</t>
    </r>
  </si>
  <si>
    <r>
      <rPr>
        <sz val="8"/>
        <rFont val="Arial MT"/>
        <family val="2"/>
      </rPr>
      <t>672766 - 4/00</t>
    </r>
  </si>
  <si>
    <r>
      <rPr>
        <sz val="8"/>
        <rFont val="Arial MT"/>
        <family val="2"/>
      </rPr>
      <t>672766 - 5/00</t>
    </r>
  </si>
  <si>
    <r>
      <rPr>
        <sz val="8"/>
        <rFont val="Arial MT"/>
        <family val="2"/>
      </rPr>
      <t>672766 - 6/00</t>
    </r>
  </si>
  <si>
    <r>
      <rPr>
        <sz val="8"/>
        <rFont val="Arial MT"/>
        <family val="2"/>
      </rPr>
      <t>672766 - 7/00</t>
    </r>
  </si>
  <si>
    <r>
      <rPr>
        <sz val="8"/>
        <rFont val="Arial MT"/>
        <family val="2"/>
      </rPr>
      <t>672766 - 8/00</t>
    </r>
  </si>
  <si>
    <r>
      <rPr>
        <sz val="8"/>
        <rFont val="Arial MT"/>
        <family val="2"/>
      </rPr>
      <t>672766 - 9/00</t>
    </r>
  </si>
  <si>
    <r>
      <rPr>
        <sz val="8"/>
        <rFont val="Arial MT"/>
        <family val="2"/>
      </rPr>
      <t>672767 - 1/00</t>
    </r>
  </si>
  <si>
    <r>
      <rPr>
        <sz val="8"/>
        <rFont val="Arial MT"/>
        <family val="2"/>
      </rPr>
      <t>672767 - 2/00</t>
    </r>
  </si>
  <si>
    <r>
      <rPr>
        <sz val="8"/>
        <rFont val="Arial MT"/>
        <family val="2"/>
      </rPr>
      <t>672768 - 1/00</t>
    </r>
  </si>
  <si>
    <r>
      <rPr>
        <sz val="8"/>
        <rFont val="Arial MT"/>
        <family val="2"/>
      </rPr>
      <t>672897 - 1/01</t>
    </r>
  </si>
  <si>
    <r>
      <rPr>
        <sz val="8"/>
        <rFont val="Arial MT"/>
        <family val="2"/>
      </rPr>
      <t>Société Française</t>
    </r>
  </si>
  <si>
    <r>
      <rPr>
        <sz val="8"/>
        <rFont val="Arial MT"/>
        <family val="2"/>
      </rPr>
      <t>24CA01</t>
    </r>
  </si>
  <si>
    <r>
      <rPr>
        <sz val="8"/>
        <rFont val="Arial MT"/>
        <family val="2"/>
      </rPr>
      <t>672897 - 2/01</t>
    </r>
  </si>
  <si>
    <r>
      <rPr>
        <sz val="8"/>
        <rFont val="Arial MT"/>
        <family val="2"/>
      </rPr>
      <t>67.07</t>
    </r>
  </si>
  <si>
    <r>
      <rPr>
        <sz val="8"/>
        <rFont val="Arial MT"/>
        <family val="2"/>
      </rPr>
      <t>673383 - 1/00</t>
    </r>
  </si>
  <si>
    <r>
      <rPr>
        <sz val="8"/>
        <rFont val="Arial MT"/>
        <family val="2"/>
      </rPr>
      <t>ZATA ECO</t>
    </r>
  </si>
  <si>
    <r>
      <rPr>
        <sz val="8"/>
        <rFont val="Arial MT"/>
        <family val="2"/>
      </rPr>
      <t>673423 - 1/00</t>
    </r>
  </si>
  <si>
    <r>
      <rPr>
        <sz val="8"/>
        <rFont val="Arial MT"/>
        <family val="2"/>
      </rPr>
      <t>EDL</t>
    </r>
  </si>
  <si>
    <r>
      <rPr>
        <sz val="8"/>
        <rFont val="Arial MT"/>
        <family val="2"/>
      </rPr>
      <t>673423 - 2/00</t>
    </r>
  </si>
  <si>
    <r>
      <rPr>
        <sz val="8"/>
        <rFont val="Arial MT"/>
        <family val="2"/>
      </rPr>
      <t>673423 - 3/00</t>
    </r>
  </si>
  <si>
    <r>
      <rPr>
        <sz val="8"/>
        <rFont val="Arial MT"/>
        <family val="2"/>
      </rPr>
      <t>673423 - 4/00</t>
    </r>
  </si>
  <si>
    <r>
      <rPr>
        <sz val="8"/>
        <rFont val="Arial MT"/>
        <family val="2"/>
      </rPr>
      <t>673423 - 5/00</t>
    </r>
  </si>
  <si>
    <r>
      <rPr>
        <sz val="8"/>
        <rFont val="Arial MT"/>
        <family val="2"/>
      </rPr>
      <t>673423 - 6/00</t>
    </r>
  </si>
  <si>
    <r>
      <rPr>
        <sz val="8"/>
        <rFont val="Arial MT"/>
        <family val="2"/>
      </rPr>
      <t>673509 - 7/00</t>
    </r>
  </si>
  <si>
    <r>
      <rPr>
        <sz val="8"/>
        <rFont val="Arial MT"/>
        <family val="2"/>
      </rPr>
      <t>SAS AEC DELAPLACE</t>
    </r>
  </si>
  <si>
    <r>
      <rPr>
        <sz val="8"/>
        <rFont val="Arial MT"/>
        <family val="2"/>
      </rPr>
      <t>673509 - 9/00</t>
    </r>
  </si>
  <si>
    <r>
      <rPr>
        <sz val="8"/>
        <rFont val="Arial MT"/>
        <family val="2"/>
      </rPr>
      <t>673509 - 12/00</t>
    </r>
  </si>
  <si>
    <r>
      <rPr>
        <sz val="8"/>
        <rFont val="Arial MT"/>
        <family val="2"/>
      </rPr>
      <t>673510 - 1/00</t>
    </r>
  </si>
  <si>
    <r>
      <rPr>
        <sz val="8"/>
        <rFont val="Arial MT"/>
        <family val="2"/>
      </rPr>
      <t>3 J BAT SA</t>
    </r>
  </si>
  <si>
    <r>
      <rPr>
        <sz val="8"/>
        <rFont val="Arial MT"/>
        <family val="2"/>
      </rPr>
      <t>673542 - 1/00</t>
    </r>
  </si>
  <si>
    <r>
      <rPr>
        <sz val="8"/>
        <rFont val="Arial MT"/>
        <family val="2"/>
      </rPr>
      <t>SARL CP ESCA3 ECHELLE</t>
    </r>
  </si>
  <si>
    <r>
      <rPr>
        <sz val="8"/>
        <rFont val="Arial MT"/>
        <family val="2"/>
      </rPr>
      <t>33.1</t>
    </r>
  </si>
  <si>
    <r>
      <rPr>
        <sz val="8"/>
        <rFont val="Arial MT"/>
        <family val="2"/>
      </rPr>
      <t>673542 - 2/00</t>
    </r>
  </si>
  <si>
    <r>
      <rPr>
        <sz val="8"/>
        <rFont val="Arial MT"/>
        <family val="2"/>
      </rPr>
      <t>673880 - 1/00</t>
    </r>
  </si>
  <si>
    <r>
      <rPr>
        <sz val="8"/>
        <rFont val="Arial MT"/>
        <family val="2"/>
      </rPr>
      <t>23C205</t>
    </r>
  </si>
  <si>
    <r>
      <rPr>
        <sz val="8"/>
        <rFont val="Arial MT"/>
        <family val="2"/>
      </rPr>
      <t>674004 - 1/00</t>
    </r>
  </si>
  <si>
    <r>
      <rPr>
        <sz val="8"/>
        <rFont val="Arial MT"/>
        <family val="2"/>
      </rPr>
      <t>674635 - 1/00</t>
    </r>
  </si>
  <si>
    <r>
      <rPr>
        <sz val="8"/>
        <rFont val="Arial MT"/>
        <family val="2"/>
      </rPr>
      <t>674991 - 1/01</t>
    </r>
  </si>
  <si>
    <r>
      <rPr>
        <sz val="8"/>
        <rFont val="Arial MT"/>
        <family val="2"/>
      </rPr>
      <t>3IA AUXERRE</t>
    </r>
  </si>
  <si>
    <r>
      <rPr>
        <sz val="8"/>
        <rFont val="Arial MT"/>
        <family val="2"/>
      </rPr>
      <t>675186 - 1/03</t>
    </r>
  </si>
  <si>
    <r>
      <rPr>
        <sz val="8"/>
        <rFont val="Arial MT"/>
        <family val="2"/>
      </rPr>
      <t>ACOUSTIQUE FRANCE</t>
    </r>
  </si>
  <si>
    <r>
      <rPr>
        <sz val="8"/>
        <rFont val="Arial MT"/>
        <family val="2"/>
      </rPr>
      <t>675217 - 1/03</t>
    </r>
  </si>
  <si>
    <r>
      <rPr>
        <sz val="8"/>
        <rFont val="Arial MT"/>
        <family val="2"/>
      </rPr>
      <t>GROUPE 6</t>
    </r>
  </si>
  <si>
    <r>
      <rPr>
        <sz val="8"/>
        <rFont val="Arial MT"/>
        <family val="2"/>
      </rPr>
      <t>675219 - 1/03</t>
    </r>
  </si>
  <si>
    <r>
      <rPr>
        <sz val="8"/>
        <rFont val="Arial MT"/>
        <family val="2"/>
      </rPr>
      <t>OTEIS</t>
    </r>
  </si>
  <si>
    <r>
      <rPr>
        <sz val="8"/>
        <rFont val="Arial MT"/>
        <family val="2"/>
      </rPr>
      <t>675232 - 1/02</t>
    </r>
  </si>
  <si>
    <r>
      <rPr>
        <sz val="8"/>
        <rFont val="Arial MT"/>
        <family val="2"/>
      </rPr>
      <t>INDDIGO</t>
    </r>
  </si>
  <si>
    <r>
      <rPr>
        <sz val="8"/>
        <rFont val="Arial MT"/>
        <family val="2"/>
      </rPr>
      <t>675238 - 1</t>
    </r>
  </si>
  <si>
    <r>
      <rPr>
        <sz val="8"/>
        <rFont val="Arial MT"/>
        <family val="2"/>
      </rPr>
      <t>CGX AERO</t>
    </r>
  </si>
  <si>
    <r>
      <rPr>
        <sz val="8"/>
        <rFont val="Arial MT"/>
        <family val="2"/>
      </rPr>
      <t>675348 - 1/00</t>
    </r>
  </si>
  <si>
    <r>
      <rPr>
        <sz val="8"/>
        <rFont val="Arial MT"/>
        <family val="2"/>
      </rPr>
      <t>675348 - 2/00</t>
    </r>
  </si>
  <si>
    <r>
      <rPr>
        <sz val="8"/>
        <rFont val="Arial MT"/>
        <family val="2"/>
      </rPr>
      <t>675348 - 3/00</t>
    </r>
  </si>
  <si>
    <r>
      <rPr>
        <sz val="8"/>
        <rFont val="Arial MT"/>
        <family val="2"/>
      </rPr>
      <t>675349 - 1/00</t>
    </r>
  </si>
  <si>
    <r>
      <rPr>
        <sz val="8"/>
        <rFont val="Arial MT"/>
        <family val="2"/>
      </rPr>
      <t>NADALON</t>
    </r>
  </si>
  <si>
    <r>
      <rPr>
        <sz val="8"/>
        <rFont val="Arial MT"/>
        <family val="2"/>
      </rPr>
      <t>675841 - 1/00</t>
    </r>
  </si>
  <si>
    <r>
      <rPr>
        <sz val="8"/>
        <rFont val="Arial MT"/>
        <family val="2"/>
      </rPr>
      <t>AIM ELECTRONIQUE</t>
    </r>
  </si>
  <si>
    <r>
      <rPr>
        <sz val="8"/>
        <rFont val="Arial MT"/>
        <family val="2"/>
      </rPr>
      <t>675873 - 1/00</t>
    </r>
  </si>
  <si>
    <r>
      <rPr>
        <sz val="8"/>
        <rFont val="Arial MT"/>
        <family val="2"/>
      </rPr>
      <t>ARJOHUNTLEIGH SAS</t>
    </r>
  </si>
  <si>
    <r>
      <rPr>
        <sz val="9"/>
        <rFont val="Arial MT"/>
        <family val="2"/>
      </rPr>
      <t>Total :</t>
    </r>
  </si>
  <si>
    <t>E0</t>
  </si>
  <si>
    <t>CHARGES</t>
  </si>
  <si>
    <t>PRODUITS</t>
  </si>
  <si>
    <t>CFA 2024</t>
  </si>
  <si>
    <t>Titre 1 - Charges de personnel</t>
  </si>
  <si>
    <t>Titre 1 - Produits de la tarificaiton</t>
  </si>
  <si>
    <t>Ecart en €</t>
  </si>
  <si>
    <t>Evolution N-1</t>
  </si>
  <si>
    <t>Titre 2 - Charges d'exploitation courante et caractère médical</t>
  </si>
  <si>
    <t>Titre 2 - Autres produits d'exploitation</t>
  </si>
  <si>
    <t>Titre 3 - Charges afférentes à la structure</t>
  </si>
  <si>
    <t>Titre 3 - Autres produits</t>
  </si>
  <si>
    <t>TOTAL DES CHARGES</t>
  </si>
  <si>
    <t>TOTAL DES PRODUITS</t>
  </si>
  <si>
    <t>RESULTAT DEFICITAIRE</t>
  </si>
  <si>
    <t>RESULTAT EXCENDENTAIRE</t>
  </si>
  <si>
    <t>E1</t>
  </si>
  <si>
    <t>N</t>
  </si>
  <si>
    <t>C</t>
  </si>
  <si>
    <t>A</t>
  </si>
  <si>
    <t>G</t>
  </si>
  <si>
    <t>INSUFFISANCE D'AUTOFINANCEMENT</t>
  </si>
  <si>
    <t>Titre1 - Remboursement des dettes financières</t>
  </si>
  <si>
    <t>Titre 2 - Immobilisations</t>
  </si>
  <si>
    <t>Titre 3 - Autres emplois</t>
  </si>
  <si>
    <t>TOTAL DES EMPLOIS</t>
  </si>
  <si>
    <t>APPORT AU FONDS DE ROULEMENT</t>
  </si>
  <si>
    <t>CAPACITE D'AUTOFINACEMENT</t>
  </si>
  <si>
    <t>Titre 1 - Emprunts</t>
  </si>
  <si>
    <t>Titre 2 - Dotations et subventions</t>
  </si>
  <si>
    <t>Titre 3 -Autres ressources</t>
  </si>
  <si>
    <t>TOTAL DES RESSOURCES</t>
  </si>
  <si>
    <t>PRELEVEMENT SUR LE FONDS DE ROULEMENT</t>
  </si>
  <si>
    <t>TOTAL EQUILIBRE DU TABLEAU DE FINANCEMENT</t>
  </si>
  <si>
    <t>Titre1: Charges de personnel</t>
  </si>
  <si>
    <t>Titre 2: Charges à caractère médical</t>
  </si>
  <si>
    <t>Titre 3: Charges à caractère hôtelier et général</t>
  </si>
  <si>
    <t>RESULTAT PREVISIONNEL EXCEDENTAIRE</t>
  </si>
  <si>
    <t>TOTAL EQUILIBRE DU COMPTE DE RESULTAT PREVISIONNEL</t>
  </si>
  <si>
    <t>Titre 1: Produits versés par l'assurance maladie</t>
  </si>
  <si>
    <t>Titre 2: Autres produits de l'activité hospitalière</t>
  </si>
  <si>
    <t>RESULTAT PREVISIONEL DEFICITAIRE</t>
  </si>
  <si>
    <t>Titre 3: Autres produiits</t>
  </si>
  <si>
    <t>Titre 4: Charges d'amortissements, de provisions, de dépréciations, financières et exceptionnelles</t>
  </si>
  <si>
    <t>PREVISIONS 2025</t>
  </si>
  <si>
    <t>Valeur comptable des éléments d'actifs dédés</t>
  </si>
  <si>
    <t>Produits des cessions d'éléments d'actif</t>
  </si>
  <si>
    <t>Quote-part des subventions versées au résultat</t>
  </si>
  <si>
    <t>Reprise sur amortissements, dépréciations et provisions</t>
  </si>
  <si>
    <t>SOUS-TOTAL</t>
  </si>
  <si>
    <t>CAPACITE D'AUTOFINANCEMENT</t>
  </si>
  <si>
    <t>Tableau de passage du résultat prévisionnel à la CAF prévisionnelle</t>
  </si>
  <si>
    <t>Compte de résultat prévisionnel consolidé</t>
  </si>
  <si>
    <t>Charges courantes d'exploitation</t>
  </si>
  <si>
    <t>Charges financières</t>
  </si>
  <si>
    <t>Impôts</t>
  </si>
  <si>
    <t>Produits courants d'exploitation</t>
  </si>
  <si>
    <t>Produits exceptionnels, hors produits des cessions d'éléments d'actifs et hors quote-part des subventions virées au compte de résultat, et transferts de chgarges</t>
  </si>
  <si>
    <t>Charges exceptionnelles, hors valeur comptable des éléments d'actifs cédés</t>
  </si>
  <si>
    <t>Tableau de financement prévisionnel</t>
  </si>
  <si>
    <t>Titre1: Remboursement des dettes financières</t>
  </si>
  <si>
    <t>Titre1: Emprunts</t>
  </si>
  <si>
    <t>Titre 2: Dotations et subventions</t>
  </si>
  <si>
    <t>Titre3: Autres ressources</t>
  </si>
  <si>
    <t>Titre3: Autres emplois</t>
  </si>
  <si>
    <t xml:space="preserve"> TOTAL DES EMPLOIS</t>
  </si>
  <si>
    <t>Titre2: Immobilisations</t>
  </si>
  <si>
    <t>TOTAL DEPENSES D'INVESTISSEMENT</t>
  </si>
  <si>
    <t>TOTAL RECETES D'INVESTISSEMENT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</si>
</sst>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5" formatCode="#,##0\ &quot;€&quot;;\-#,##0\ &quot;€&quot;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_-* #,##0\ &quot;€&quot;_-;\-* #,##0\ &quot;€&quot;_-;_-* &quot;-&quot;??\ &quot;€&quot;_-;_-@_-"/>
    <numFmt numFmtId="165" formatCode="#,##0\ &quot;€&quot;"/>
    <numFmt numFmtId="166" formatCode="0.0%"/>
    <numFmt numFmtId="167" formatCode="_-* #,##0.0\ &quot;€&quot;_-;\-* #,##0.0\ &quot;€&quot;_-;_-* &quot;-&quot;??\ &quot;€&quot;_-;_-@_-"/>
    <numFmt numFmtId="168" formatCode="_-* #,##0.000\ _€_-;\-* #,##0.000\ _€_-;_-* &quot;-&quot;???\ _€_-;_-@_-"/>
    <numFmt numFmtId="169" formatCode="0.000"/>
    <numFmt numFmtId="170" formatCode="dd/mm/yyyy;@"/>
    <numFmt numFmtId="171" formatCode="0000"/>
    <numFmt numFmtId="172" formatCode="#,##0.000"/>
  </numFmts>
  <fonts count="3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9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rgb="FF000000"/>
      <name val="Arial"/>
      <family val="2"/>
    </font>
    <font>
      <i/>
      <sz val="9"/>
      <color theme="1"/>
      <name val="Calibri"/>
      <family val="2"/>
      <scheme val="minor"/>
    </font>
    <font>
      <i/>
      <sz val="11"/>
      <name val="Calibri"/>
      <family val="2"/>
      <scheme val="minor"/>
    </font>
    <font>
      <b/>
      <sz val="11"/>
      <color theme="8" tint="-0.249977111117893"/>
      <name val="Calibri"/>
      <family val="2"/>
      <scheme val="minor"/>
    </font>
    <font>
      <i/>
      <sz val="9"/>
      <name val="Calibri"/>
      <family val="2"/>
      <scheme val="minor"/>
    </font>
    <font>
      <sz val="10"/>
      <color rgb="FF000000"/>
      <name val="Times New Roman"/>
      <family val="1"/>
    </font>
    <font>
      <sz val="10"/>
      <name val="Arial MT"/>
      <family val="2"/>
    </font>
    <font>
      <sz val="8"/>
      <name val="Arial MT"/>
    </font>
    <font>
      <sz val="8"/>
      <color rgb="FF878787"/>
      <name val="Arial MT"/>
      <family val="2"/>
    </font>
    <font>
      <sz val="8"/>
      <name val="Arial MT"/>
      <family val="2"/>
    </font>
    <font>
      <sz val="8"/>
      <color rgb="FF000000"/>
      <name val="Arial MT"/>
      <family val="2"/>
    </font>
    <font>
      <sz val="9"/>
      <name val="Arial MT"/>
    </font>
    <font>
      <sz val="9"/>
      <name val="Arial MT"/>
      <family val="2"/>
    </font>
  </fonts>
  <fills count="20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rgb="FFE0E0E0"/>
      </patternFill>
    </fill>
    <fill>
      <patternFill patternType="solid">
        <fgColor rgb="FFE9E9E9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1" tint="0.499984740745262"/>
        <bgColor indexed="64"/>
      </patternFill>
    </fill>
  </fills>
  <borders count="7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DashDotDot">
        <color indexed="64"/>
      </left>
      <right style="hair">
        <color indexed="64"/>
      </right>
      <top style="mediumDashDotDot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DashDotDot">
        <color indexed="64"/>
      </top>
      <bottom style="hair">
        <color indexed="64"/>
      </bottom>
      <diagonal/>
    </border>
    <border>
      <left style="hair">
        <color indexed="64"/>
      </left>
      <right style="mediumDashDotDot">
        <color indexed="64"/>
      </right>
      <top style="mediumDashDotDot">
        <color indexed="64"/>
      </top>
      <bottom style="hair">
        <color indexed="64"/>
      </bottom>
      <diagonal/>
    </border>
    <border>
      <left style="mediumDashDotDot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DashDotDot">
        <color indexed="64"/>
      </right>
      <top style="hair">
        <color indexed="64"/>
      </top>
      <bottom style="hair">
        <color indexed="64"/>
      </bottom>
      <diagonal/>
    </border>
    <border>
      <left style="mediumDashDotDot">
        <color indexed="64"/>
      </left>
      <right style="hair">
        <color indexed="64"/>
      </right>
      <top style="hair">
        <color indexed="64"/>
      </top>
      <bottom style="mediumDashDotDot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DashDotDot">
        <color indexed="64"/>
      </bottom>
      <diagonal/>
    </border>
    <border>
      <left style="hair">
        <color indexed="64"/>
      </left>
      <right style="mediumDashDotDot">
        <color indexed="64"/>
      </right>
      <top style="hair">
        <color indexed="64"/>
      </top>
      <bottom style="mediumDashDotDot">
        <color indexed="64"/>
      </bottom>
      <diagonal/>
    </border>
    <border>
      <left style="mediumDashDotDot">
        <color auto="1"/>
      </left>
      <right/>
      <top style="mediumDashDotDot">
        <color auto="1"/>
      </top>
      <bottom/>
      <diagonal/>
    </border>
    <border>
      <left/>
      <right/>
      <top style="mediumDashDotDot">
        <color auto="1"/>
      </top>
      <bottom/>
      <diagonal/>
    </border>
    <border>
      <left/>
      <right style="mediumDashDotDot">
        <color auto="1"/>
      </right>
      <top style="mediumDashDotDot">
        <color auto="1"/>
      </top>
      <bottom/>
      <diagonal/>
    </border>
    <border>
      <left style="mediumDashDotDot">
        <color auto="1"/>
      </left>
      <right/>
      <top/>
      <bottom/>
      <diagonal/>
    </border>
    <border>
      <left/>
      <right style="mediumDashDotDot">
        <color auto="1"/>
      </right>
      <top/>
      <bottom/>
      <diagonal/>
    </border>
    <border>
      <left style="mediumDashDotDot">
        <color auto="1"/>
      </left>
      <right/>
      <top/>
      <bottom style="mediumDashDotDot">
        <color auto="1"/>
      </bottom>
      <diagonal/>
    </border>
    <border>
      <left/>
      <right/>
      <top/>
      <bottom style="mediumDashDotDot">
        <color auto="1"/>
      </bottom>
      <diagonal/>
    </border>
    <border>
      <left/>
      <right style="mediumDashDotDot">
        <color auto="1"/>
      </right>
      <top/>
      <bottom style="mediumDashDotDot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999999"/>
      </left>
      <right/>
      <top style="thin">
        <color rgb="FF999999"/>
      </top>
      <bottom/>
      <diagonal/>
    </border>
    <border>
      <left style="thin">
        <color rgb="FF999999"/>
      </left>
      <right style="thin">
        <color rgb="FF999999"/>
      </right>
      <top style="thin">
        <color rgb="FF999999"/>
      </top>
      <bottom/>
      <diagonal/>
    </border>
    <border>
      <left style="thin">
        <color rgb="FF999999"/>
      </left>
      <right/>
      <top/>
      <bottom/>
      <diagonal/>
    </border>
    <border>
      <left style="thin">
        <color rgb="FF999999"/>
      </left>
      <right style="thin">
        <color rgb="FF999999"/>
      </right>
      <top/>
      <bottom/>
      <diagonal/>
    </border>
    <border>
      <left style="thin">
        <color rgb="FF999999"/>
      </left>
      <right/>
      <top style="thin">
        <color rgb="FF999999"/>
      </top>
      <bottom style="thin">
        <color rgb="FF999999"/>
      </bottom>
      <diagonal/>
    </border>
    <border>
      <left style="thin">
        <color rgb="FF999999"/>
      </left>
      <right style="thin">
        <color rgb="FF999999"/>
      </right>
      <top style="thin">
        <color rgb="FF999999"/>
      </top>
      <bottom style="thin">
        <color rgb="FF999999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DashDotDot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BEBEBE"/>
      </left>
      <right style="thin">
        <color rgb="FFBEBEBE"/>
      </right>
      <top style="thin">
        <color rgb="FFBEBEBE"/>
      </top>
      <bottom/>
      <diagonal/>
    </border>
    <border>
      <left style="thin">
        <color rgb="FFBEBEBE"/>
      </left>
      <right/>
      <top style="thin">
        <color rgb="FFBEBEBE"/>
      </top>
      <bottom style="thin">
        <color rgb="FFBEBEBE"/>
      </bottom>
      <diagonal/>
    </border>
    <border>
      <left/>
      <right style="thin">
        <color rgb="FFBEBEBE"/>
      </right>
      <top style="thin">
        <color rgb="FFBEBEBE"/>
      </top>
      <bottom style="thin">
        <color rgb="FFBEBEBE"/>
      </bottom>
      <diagonal/>
    </border>
    <border>
      <left style="thin">
        <color rgb="FFBEBEBE"/>
      </left>
      <right style="thin">
        <color rgb="FFBEBEBE"/>
      </right>
      <top/>
      <bottom style="thin">
        <color rgb="FFBEBEBE"/>
      </bottom>
      <diagonal/>
    </border>
    <border>
      <left style="thin">
        <color rgb="FFBEBEBE"/>
      </left>
      <right style="thin">
        <color rgb="FFBEBEBE"/>
      </right>
      <top style="thin">
        <color rgb="FFBEBEBE"/>
      </top>
      <bottom style="thin">
        <color rgb="FFBEBEBE"/>
      </bottom>
      <diagonal/>
    </border>
    <border>
      <left/>
      <right/>
      <top style="thin">
        <color rgb="FFBEBEBE"/>
      </top>
      <bottom/>
      <diagonal/>
    </border>
    <border>
      <left/>
      <right style="thin">
        <color rgb="FFBEBEBE"/>
      </right>
      <top style="thin">
        <color rgb="FFBEBEBE"/>
      </top>
      <bottom/>
      <diagonal/>
    </border>
    <border>
      <left style="thin">
        <color rgb="FFBEBEBE"/>
      </left>
      <right/>
      <top style="thin">
        <color rgb="FFBEBEBE"/>
      </top>
      <bottom/>
      <diagonal/>
    </border>
  </borders>
  <cellStyleXfs count="8">
    <xf numFmtId="0" fontId="0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1" fillId="0" borderId="0" applyNumberFormat="0" applyFont="0" applyFill="0" applyBorder="0" applyAlignment="0" applyProtection="0"/>
    <xf numFmtId="0" fontId="17" fillId="0" borderId="0"/>
    <xf numFmtId="44" fontId="17" fillId="0" borderId="0" applyFont="0" applyFill="0" applyBorder="0" applyAlignment="0" applyProtection="0"/>
    <xf numFmtId="0" fontId="22" fillId="0" borderId="0"/>
  </cellStyleXfs>
  <cellXfs count="462">
    <xf numFmtId="0" fontId="0" fillId="0" borderId="0" xfId="0"/>
    <xf numFmtId="0" fontId="5" fillId="0" borderId="0" xfId="0" applyFont="1"/>
    <xf numFmtId="0" fontId="0" fillId="2" borderId="0" xfId="0" applyFill="1"/>
    <xf numFmtId="0" fontId="0" fillId="0" borderId="1" xfId="0" applyBorder="1"/>
    <xf numFmtId="164" fontId="4" fillId="0" borderId="1" xfId="1" applyNumberFormat="1" applyFont="1" applyFill="1" applyBorder="1" applyAlignment="1">
      <alignment horizontal="center" vertical="center" wrapText="1"/>
    </xf>
    <xf numFmtId="164" fontId="0" fillId="0" borderId="1" xfId="1" applyNumberFormat="1" applyFont="1" applyBorder="1"/>
    <xf numFmtId="164" fontId="0" fillId="0" borderId="1" xfId="1" applyNumberFormat="1" applyFont="1" applyFill="1" applyBorder="1"/>
    <xf numFmtId="0" fontId="8" fillId="2" borderId="1" xfId="0" applyFont="1" applyFill="1" applyBorder="1" applyAlignment="1">
      <alignment horizontal="center"/>
    </xf>
    <xf numFmtId="3" fontId="9" fillId="2" borderId="1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/>
    </xf>
    <xf numFmtId="0" fontId="8" fillId="2" borderId="1" xfId="0" applyFont="1" applyFill="1" applyBorder="1" applyAlignment="1"/>
    <xf numFmtId="3" fontId="9" fillId="2" borderId="1" xfId="0" applyNumberFormat="1" applyFont="1" applyFill="1" applyBorder="1" applyAlignment="1">
      <alignment wrapText="1"/>
    </xf>
    <xf numFmtId="0" fontId="0" fillId="0" borderId="1" xfId="0" applyFill="1" applyBorder="1"/>
    <xf numFmtId="0" fontId="0" fillId="0" borderId="0" xfId="0" applyFill="1"/>
    <xf numFmtId="0" fontId="0" fillId="0" borderId="1" xfId="0" applyBorder="1" applyAlignment="1">
      <alignment horizontal="left"/>
    </xf>
    <xf numFmtId="0" fontId="0" fillId="0" borderId="1" xfId="0" applyFill="1" applyBorder="1" applyAlignment="1">
      <alignment horizontal="left"/>
    </xf>
    <xf numFmtId="164" fontId="6" fillId="0" borderId="1" xfId="1" applyNumberFormat="1" applyFont="1" applyFill="1" applyBorder="1" applyAlignment="1" applyProtection="1">
      <alignment horizontal="right" vertical="center"/>
      <protection locked="0"/>
    </xf>
    <xf numFmtId="0" fontId="8" fillId="3" borderId="1" xfId="0" applyFont="1" applyFill="1" applyBorder="1" applyAlignment="1">
      <alignment horizontal="center"/>
    </xf>
    <xf numFmtId="164" fontId="8" fillId="3" borderId="1" xfId="1" applyNumberFormat="1" applyFont="1" applyFill="1" applyBorder="1" applyAlignment="1">
      <alignment horizontal="center"/>
    </xf>
    <xf numFmtId="164" fontId="8" fillId="3" borderId="1" xfId="1" applyNumberFormat="1" applyFont="1" applyFill="1" applyBorder="1"/>
    <xf numFmtId="0" fontId="5" fillId="2" borderId="5" xfId="0" applyFont="1" applyFill="1" applyBorder="1" applyAlignment="1">
      <alignment vertical="center"/>
    </xf>
    <xf numFmtId="164" fontId="0" fillId="0" borderId="6" xfId="1" applyNumberFormat="1" applyFont="1" applyBorder="1" applyAlignment="1">
      <alignment horizontal="center" vertical="center"/>
    </xf>
    <xf numFmtId="164" fontId="0" fillId="0" borderId="7" xfId="1" applyNumberFormat="1" applyFont="1" applyBorder="1" applyAlignment="1">
      <alignment horizontal="center" vertical="center"/>
    </xf>
    <xf numFmtId="0" fontId="5" fillId="2" borderId="5" xfId="0" applyFont="1" applyFill="1" applyBorder="1" applyAlignment="1">
      <alignment vertical="center" wrapText="1"/>
    </xf>
    <xf numFmtId="0" fontId="0" fillId="0" borderId="7" xfId="0" applyBorder="1" applyAlignment="1">
      <alignment horizontal="center" vertical="center"/>
    </xf>
    <xf numFmtId="0" fontId="5" fillId="2" borderId="8" xfId="0" applyFont="1" applyFill="1" applyBorder="1" applyAlignment="1">
      <alignment vertical="center"/>
    </xf>
    <xf numFmtId="0" fontId="5" fillId="2" borderId="2" xfId="0" applyFont="1" applyFill="1" applyBorder="1" applyAlignment="1">
      <alignment vertical="center"/>
    </xf>
    <xf numFmtId="0" fontId="5" fillId="2" borderId="3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left"/>
    </xf>
    <xf numFmtId="0" fontId="8" fillId="2" borderId="1" xfId="0" applyFont="1" applyFill="1" applyBorder="1" applyAlignment="1">
      <alignment horizontal="left"/>
    </xf>
    <xf numFmtId="0" fontId="5" fillId="2" borderId="3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164" fontId="8" fillId="3" borderId="1" xfId="1" applyNumberFormat="1" applyFont="1" applyFill="1" applyBorder="1" applyAlignment="1">
      <alignment horizontal="right"/>
    </xf>
    <xf numFmtId="0" fontId="0" fillId="0" borderId="0" xfId="0" applyAlignment="1">
      <alignment vertical="top" wrapText="1"/>
    </xf>
    <xf numFmtId="164" fontId="0" fillId="0" borderId="0" xfId="0" applyNumberFormat="1"/>
    <xf numFmtId="164" fontId="0" fillId="0" borderId="1" xfId="1" applyNumberFormat="1" applyFont="1" applyBorder="1" applyAlignment="1">
      <alignment horizontal="right"/>
    </xf>
    <xf numFmtId="0" fontId="0" fillId="0" borderId="0" xfId="0" applyAlignment="1">
      <alignment vertical="center"/>
    </xf>
    <xf numFmtId="0" fontId="5" fillId="0" borderId="1" xfId="0" applyFont="1" applyBorder="1" applyAlignment="1">
      <alignment horizontal="center" vertical="center"/>
    </xf>
    <xf numFmtId="43" fontId="10" fillId="0" borderId="1" xfId="2" applyFont="1" applyFill="1" applyBorder="1" applyAlignment="1">
      <alignment horizontal="center" vertical="center" wrapText="1"/>
    </xf>
    <xf numFmtId="0" fontId="10" fillId="0" borderId="23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0" fillId="0" borderId="23" xfId="0" applyBorder="1" applyAlignment="1">
      <alignment vertical="center"/>
    </xf>
    <xf numFmtId="0" fontId="0" fillId="0" borderId="29" xfId="0" applyBorder="1" applyAlignment="1">
      <alignment vertical="center"/>
    </xf>
    <xf numFmtId="0" fontId="4" fillId="0" borderId="23" xfId="0" applyFont="1" applyFill="1" applyBorder="1" applyAlignment="1">
      <alignment horizontal="center" vertical="center" wrapText="1"/>
    </xf>
    <xf numFmtId="165" fontId="4" fillId="0" borderId="23" xfId="1" applyNumberFormat="1" applyFont="1" applyFill="1" applyBorder="1" applyAlignment="1">
      <alignment horizontal="right" vertical="center" wrapText="1"/>
    </xf>
    <xf numFmtId="0" fontId="4" fillId="0" borderId="24" xfId="0" applyFont="1" applyFill="1" applyBorder="1" applyAlignment="1">
      <alignment horizontal="center" vertical="center" wrapText="1"/>
    </xf>
    <xf numFmtId="165" fontId="4" fillId="0" borderId="24" xfId="1" applyNumberFormat="1" applyFont="1" applyFill="1" applyBorder="1" applyAlignment="1">
      <alignment horizontal="right" vertical="center" wrapText="1"/>
    </xf>
    <xf numFmtId="0" fontId="4" fillId="0" borderId="19" xfId="0" applyFont="1" applyFill="1" applyBorder="1" applyAlignment="1">
      <alignment horizontal="center" vertical="center" wrapText="1"/>
    </xf>
    <xf numFmtId="165" fontId="4" fillId="0" borderId="19" xfId="1" applyNumberFormat="1" applyFont="1" applyFill="1" applyBorder="1" applyAlignment="1">
      <alignment horizontal="right" vertical="center" wrapText="1"/>
    </xf>
    <xf numFmtId="0" fontId="4" fillId="0" borderId="22" xfId="0" quotePrefix="1" applyFont="1" applyFill="1" applyBorder="1" applyAlignment="1">
      <alignment horizontal="center" vertical="center" wrapText="1"/>
    </xf>
    <xf numFmtId="165" fontId="4" fillId="0" borderId="22" xfId="1" applyNumberFormat="1" applyFont="1" applyFill="1" applyBorder="1" applyAlignment="1">
      <alignment horizontal="right" vertical="center" wrapText="1"/>
    </xf>
    <xf numFmtId="0" fontId="0" fillId="0" borderId="1" xfId="0" applyBorder="1" applyAlignment="1">
      <alignment horizontal="center" vertical="center"/>
    </xf>
    <xf numFmtId="0" fontId="4" fillId="0" borderId="29" xfId="0" applyFont="1" applyFill="1" applyBorder="1" applyAlignment="1">
      <alignment horizontal="center" vertical="center" wrapText="1"/>
    </xf>
    <xf numFmtId="165" fontId="4" fillId="0" borderId="29" xfId="1" applyNumberFormat="1" applyFont="1" applyFill="1" applyBorder="1" applyAlignment="1">
      <alignment horizontal="right" vertical="center" wrapText="1"/>
    </xf>
    <xf numFmtId="165" fontId="4" fillId="0" borderId="1" xfId="1" applyNumberFormat="1" applyFont="1" applyFill="1" applyBorder="1" applyAlignment="1">
      <alignment horizontal="right" vertical="center" wrapText="1"/>
    </xf>
    <xf numFmtId="0" fontId="0" fillId="0" borderId="1" xfId="0" applyBorder="1" applyAlignment="1">
      <alignment vertical="center"/>
    </xf>
    <xf numFmtId="0" fontId="4" fillId="0" borderId="22" xfId="0" applyFont="1" applyFill="1" applyBorder="1" applyAlignment="1">
      <alignment horizontal="center" vertical="center" wrapText="1"/>
    </xf>
    <xf numFmtId="0" fontId="0" fillId="6" borderId="1" xfId="0" applyFill="1" applyBorder="1" applyAlignment="1">
      <alignment vertical="center"/>
    </xf>
    <xf numFmtId="0" fontId="4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0" fontId="0" fillId="0" borderId="1" xfId="0" applyFill="1" applyBorder="1" applyAlignment="1">
      <alignment vertical="center"/>
    </xf>
    <xf numFmtId="164" fontId="0" fillId="0" borderId="1" xfId="1" applyNumberFormat="1" applyFont="1" applyFill="1" applyBorder="1" applyAlignment="1">
      <alignment vertical="center"/>
    </xf>
    <xf numFmtId="164" fontId="5" fillId="4" borderId="1" xfId="1" applyNumberFormat="1" applyFont="1" applyFill="1" applyBorder="1" applyAlignment="1">
      <alignment vertical="center"/>
    </xf>
    <xf numFmtId="164" fontId="5" fillId="5" borderId="1" xfId="1" applyNumberFormat="1" applyFont="1" applyFill="1" applyBorder="1" applyAlignment="1">
      <alignment vertical="center"/>
    </xf>
    <xf numFmtId="0" fontId="0" fillId="0" borderId="0" xfId="0" applyAlignment="1">
      <alignment horizontal="center" vertical="center"/>
    </xf>
    <xf numFmtId="165" fontId="0" fillId="0" borderId="0" xfId="0" applyNumberFormat="1" applyAlignment="1">
      <alignment vertical="center"/>
    </xf>
    <xf numFmtId="166" fontId="8" fillId="3" borderId="1" xfId="3" applyNumberFormat="1" applyFont="1" applyFill="1" applyBorder="1" applyAlignment="1">
      <alignment horizontal="right"/>
    </xf>
    <xf numFmtId="166" fontId="1" fillId="0" borderId="1" xfId="3" applyNumberFormat="1" applyFont="1" applyBorder="1" applyAlignment="1">
      <alignment horizontal="right"/>
    </xf>
    <xf numFmtId="166" fontId="0" fillId="0" borderId="1" xfId="3" applyNumberFormat="1" applyFont="1" applyBorder="1" applyAlignment="1">
      <alignment horizontal="right"/>
    </xf>
    <xf numFmtId="5" fontId="0" fillId="0" borderId="1" xfId="1" applyNumberFormat="1" applyFont="1" applyFill="1" applyBorder="1"/>
    <xf numFmtId="5" fontId="8" fillId="3" borderId="1" xfId="1" applyNumberFormat="1" applyFont="1" applyFill="1" applyBorder="1" applyAlignment="1">
      <alignment horizontal="right"/>
    </xf>
    <xf numFmtId="0" fontId="8" fillId="2" borderId="1" xfId="0" applyFont="1" applyFill="1" applyBorder="1" applyAlignment="1">
      <alignment horizontal="center" wrapText="1"/>
    </xf>
    <xf numFmtId="166" fontId="8" fillId="3" borderId="1" xfId="3" applyNumberFormat="1" applyFont="1" applyFill="1" applyBorder="1" applyAlignment="1">
      <alignment horizontal="center"/>
    </xf>
    <xf numFmtId="166" fontId="0" fillId="0" borderId="1" xfId="3" applyNumberFormat="1" applyFont="1" applyFill="1" applyBorder="1" applyAlignment="1">
      <alignment horizontal="center"/>
    </xf>
    <xf numFmtId="0" fontId="0" fillId="0" borderId="0" xfId="0" applyAlignment="1">
      <alignment horizontal="center"/>
    </xf>
    <xf numFmtId="5" fontId="0" fillId="0" borderId="0" xfId="0" applyNumberFormat="1"/>
    <xf numFmtId="0" fontId="12" fillId="7" borderId="33" xfId="4" applyNumberFormat="1" applyFont="1" applyFill="1" applyBorder="1" applyAlignment="1"/>
    <xf numFmtId="0" fontId="11" fillId="0" borderId="0" xfId="4" applyNumberFormat="1" applyFont="1" applyFill="1" applyBorder="1" applyAlignment="1"/>
    <xf numFmtId="0" fontId="11" fillId="0" borderId="34" xfId="4" applyNumberFormat="1" applyFont="1" applyFill="1" applyBorder="1" applyAlignment="1"/>
    <xf numFmtId="0" fontId="11" fillId="0" borderId="35" xfId="4" applyNumberFormat="1" applyFont="1" applyFill="1" applyBorder="1" applyAlignment="1"/>
    <xf numFmtId="0" fontId="11" fillId="0" borderId="33" xfId="4" applyNumberFormat="1" applyFont="1" applyFill="1" applyBorder="1" applyAlignment="1"/>
    <xf numFmtId="0" fontId="11" fillId="8" borderId="35" xfId="4" applyNumberFormat="1" applyFont="1" applyFill="1" applyBorder="1" applyAlignment="1"/>
    <xf numFmtId="0" fontId="11" fillId="0" borderId="36" xfId="4" applyNumberFormat="1" applyFont="1" applyFill="1" applyBorder="1" applyAlignment="1"/>
    <xf numFmtId="0" fontId="11" fillId="8" borderId="37" xfId="4" applyNumberFormat="1" applyFont="1" applyFill="1" applyBorder="1" applyAlignment="1"/>
    <xf numFmtId="0" fontId="11" fillId="0" borderId="37" xfId="4" applyNumberFormat="1" applyFont="1" applyFill="1" applyBorder="1" applyAlignment="1"/>
    <xf numFmtId="0" fontId="11" fillId="0" borderId="38" xfId="4" applyNumberFormat="1" applyFont="1" applyFill="1" applyBorder="1" applyAlignment="1"/>
    <xf numFmtId="0" fontId="11" fillId="0" borderId="39" xfId="4" applyNumberFormat="1" applyFont="1" applyFill="1" applyBorder="1" applyAlignment="1"/>
    <xf numFmtId="5" fontId="0" fillId="0" borderId="1" xfId="1" applyNumberFormat="1" applyFont="1" applyBorder="1" applyAlignment="1">
      <alignment horizontal="right"/>
    </xf>
    <xf numFmtId="164" fontId="5" fillId="0" borderId="9" xfId="0" applyNumberFormat="1" applyFont="1" applyBorder="1" applyAlignment="1">
      <alignment horizontal="center" vertical="center"/>
    </xf>
    <xf numFmtId="164" fontId="5" fillId="0" borderId="9" xfId="1" applyNumberFormat="1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167" fontId="0" fillId="0" borderId="0" xfId="0" applyNumberFormat="1" applyFill="1" applyBorder="1" applyAlignment="1">
      <alignment horizontal="left" vertical="top"/>
    </xf>
    <xf numFmtId="164" fontId="0" fillId="0" borderId="40" xfId="1" applyNumberFormat="1" applyFont="1" applyBorder="1" applyAlignment="1">
      <alignment horizontal="center" vertical="center"/>
    </xf>
    <xf numFmtId="0" fontId="4" fillId="0" borderId="23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164" fontId="0" fillId="0" borderId="23" xfId="1" applyNumberFormat="1" applyFont="1" applyFill="1" applyBorder="1" applyAlignment="1">
      <alignment vertical="center"/>
    </xf>
    <xf numFmtId="164" fontId="0" fillId="0" borderId="29" xfId="1" applyNumberFormat="1" applyFont="1" applyFill="1" applyBorder="1" applyAlignment="1">
      <alignment vertical="center"/>
    </xf>
    <xf numFmtId="0" fontId="4" fillId="0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164" fontId="0" fillId="0" borderId="19" xfId="1" applyNumberFormat="1" applyFont="1" applyFill="1" applyBorder="1" applyAlignment="1">
      <alignment vertical="center"/>
    </xf>
    <xf numFmtId="164" fontId="0" fillId="0" borderId="24" xfId="1" applyNumberFormat="1" applyFont="1" applyFill="1" applyBorder="1" applyAlignment="1">
      <alignment vertical="center"/>
    </xf>
    <xf numFmtId="165" fontId="4" fillId="0" borderId="29" xfId="1" applyNumberFormat="1" applyFont="1" applyFill="1" applyBorder="1" applyAlignment="1">
      <alignment horizontal="right" vertical="center" wrapText="1"/>
    </xf>
    <xf numFmtId="0" fontId="0" fillId="0" borderId="23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32" xfId="0" applyFill="1" applyBorder="1" applyAlignment="1">
      <alignment horizontal="center" vertical="center"/>
    </xf>
    <xf numFmtId="0" fontId="4" fillId="0" borderId="23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165" fontId="10" fillId="0" borderId="23" xfId="1" applyNumberFormat="1" applyFont="1" applyFill="1" applyBorder="1" applyAlignment="1">
      <alignment vertical="center" wrapText="1"/>
    </xf>
    <xf numFmtId="165" fontId="4" fillId="0" borderId="1" xfId="1" applyNumberFormat="1" applyFont="1" applyFill="1" applyBorder="1" applyAlignment="1">
      <alignment vertical="center" wrapText="1"/>
    </xf>
    <xf numFmtId="165" fontId="10" fillId="0" borderId="1" xfId="1" applyNumberFormat="1" applyFont="1" applyFill="1" applyBorder="1" applyAlignment="1">
      <alignment vertical="center" wrapText="1"/>
    </xf>
    <xf numFmtId="0" fontId="5" fillId="9" borderId="1" xfId="0" applyFont="1" applyFill="1" applyBorder="1" applyAlignment="1">
      <alignment horizontal="center" vertical="center"/>
    </xf>
    <xf numFmtId="164" fontId="0" fillId="0" borderId="0" xfId="0" applyNumberFormat="1" applyAlignment="1">
      <alignment vertical="center"/>
    </xf>
    <xf numFmtId="164" fontId="5" fillId="0" borderId="0" xfId="1" applyNumberFormat="1" applyFont="1" applyFill="1" applyBorder="1" applyAlignment="1">
      <alignment vertical="center"/>
    </xf>
    <xf numFmtId="0" fontId="0" fillId="0" borderId="44" xfId="0" applyFont="1" applyFill="1" applyBorder="1" applyAlignment="1">
      <alignment vertical="center"/>
    </xf>
    <xf numFmtId="164" fontId="0" fillId="0" borderId="45" xfId="1" applyNumberFormat="1" applyFont="1" applyBorder="1" applyAlignment="1">
      <alignment horizontal="center" vertical="center"/>
    </xf>
    <xf numFmtId="0" fontId="0" fillId="0" borderId="30" xfId="0" quotePrefix="1" applyFont="1" applyFill="1" applyBorder="1"/>
    <xf numFmtId="0" fontId="5" fillId="0" borderId="22" xfId="0" applyFont="1" applyFill="1" applyBorder="1" applyAlignment="1">
      <alignment vertical="center"/>
    </xf>
    <xf numFmtId="0" fontId="5" fillId="0" borderId="41" xfId="0" applyFont="1" applyFill="1" applyBorder="1" applyAlignment="1">
      <alignment horizontal="center" vertical="center"/>
    </xf>
    <xf numFmtId="0" fontId="5" fillId="0" borderId="42" xfId="0" applyFont="1" applyFill="1" applyBorder="1" applyAlignment="1">
      <alignment horizontal="center" vertical="center" wrapText="1"/>
    </xf>
    <xf numFmtId="0" fontId="5" fillId="0" borderId="43" xfId="0" applyFont="1" applyFill="1" applyBorder="1" applyAlignment="1">
      <alignment horizontal="center" vertical="center"/>
    </xf>
    <xf numFmtId="164" fontId="0" fillId="0" borderId="31" xfId="0" applyNumberFormat="1" applyFill="1" applyBorder="1"/>
    <xf numFmtId="0" fontId="5" fillId="0" borderId="46" xfId="0" applyFont="1" applyFill="1" applyBorder="1" applyAlignment="1">
      <alignment horizontal="center" vertical="center"/>
    </xf>
    <xf numFmtId="0" fontId="0" fillId="0" borderId="47" xfId="0" applyFont="1" applyFill="1" applyBorder="1" applyAlignment="1">
      <alignment vertical="center"/>
    </xf>
    <xf numFmtId="164" fontId="0" fillId="0" borderId="48" xfId="1" applyNumberFormat="1" applyFont="1" applyBorder="1" applyAlignment="1">
      <alignment horizontal="center" vertical="center"/>
    </xf>
    <xf numFmtId="164" fontId="0" fillId="0" borderId="49" xfId="1" applyNumberFormat="1" applyFont="1" applyBorder="1" applyAlignment="1">
      <alignment horizontal="center" vertical="center"/>
    </xf>
    <xf numFmtId="164" fontId="0" fillId="0" borderId="50" xfId="1" applyNumberFormat="1" applyFont="1" applyBorder="1" applyAlignment="1">
      <alignment horizontal="center" vertical="center"/>
    </xf>
    <xf numFmtId="0" fontId="5" fillId="0" borderId="51" xfId="0" applyFont="1" applyFill="1" applyBorder="1" applyAlignment="1">
      <alignment vertical="center"/>
    </xf>
    <xf numFmtId="0" fontId="5" fillId="0" borderId="52" xfId="0" applyFont="1" applyFill="1" applyBorder="1" applyAlignment="1">
      <alignment horizontal="center" vertical="center"/>
    </xf>
    <xf numFmtId="0" fontId="5" fillId="0" borderId="52" xfId="0" applyFont="1" applyFill="1" applyBorder="1" applyAlignment="1">
      <alignment horizontal="center" vertical="center" wrapText="1"/>
    </xf>
    <xf numFmtId="0" fontId="5" fillId="0" borderId="53" xfId="0" applyFont="1" applyFill="1" applyBorder="1" applyAlignment="1">
      <alignment horizontal="center" vertical="center" wrapText="1"/>
    </xf>
    <xf numFmtId="0" fontId="5" fillId="0" borderId="54" xfId="0" applyFont="1" applyFill="1" applyBorder="1" applyAlignment="1">
      <alignment horizontal="center" vertical="center"/>
    </xf>
    <xf numFmtId="164" fontId="0" fillId="0" borderId="48" xfId="1" applyNumberFormat="1" applyFont="1" applyFill="1" applyBorder="1" applyAlignment="1">
      <alignment horizontal="center" vertical="center"/>
    </xf>
    <xf numFmtId="164" fontId="0" fillId="0" borderId="55" xfId="1" applyNumberFormat="1" applyFont="1" applyFill="1" applyBorder="1" applyAlignment="1">
      <alignment horizontal="center" vertical="center"/>
    </xf>
    <xf numFmtId="0" fontId="0" fillId="0" borderId="56" xfId="0" applyFont="1" applyFill="1" applyBorder="1" applyAlignment="1">
      <alignment vertical="center"/>
    </xf>
    <xf numFmtId="164" fontId="0" fillId="0" borderId="57" xfId="1" applyNumberFormat="1" applyFont="1" applyBorder="1" applyAlignment="1">
      <alignment horizontal="center" vertical="center"/>
    </xf>
    <xf numFmtId="164" fontId="0" fillId="0" borderId="58" xfId="1" applyNumberFormat="1" applyFont="1" applyBorder="1" applyAlignment="1">
      <alignment horizontal="center" vertical="center"/>
    </xf>
    <xf numFmtId="164" fontId="0" fillId="0" borderId="59" xfId="1" applyNumberFormat="1" applyFont="1" applyBorder="1" applyAlignment="1">
      <alignment horizontal="center" vertical="center"/>
    </xf>
    <xf numFmtId="164" fontId="5" fillId="6" borderId="52" xfId="0" applyNumberFormat="1" applyFont="1" applyFill="1" applyBorder="1" applyAlignment="1">
      <alignment horizontal="center" vertical="center"/>
    </xf>
    <xf numFmtId="164" fontId="5" fillId="6" borderId="52" xfId="1" applyNumberFormat="1" applyFont="1" applyFill="1" applyBorder="1" applyAlignment="1">
      <alignment horizontal="center" vertical="center"/>
    </xf>
    <xf numFmtId="164" fontId="5" fillId="6" borderId="54" xfId="0" applyNumberFormat="1" applyFont="1" applyFill="1" applyBorder="1" applyAlignment="1">
      <alignment horizontal="center" vertical="center"/>
    </xf>
    <xf numFmtId="0" fontId="5" fillId="6" borderId="51" xfId="0" applyFont="1" applyFill="1" applyBorder="1" applyAlignment="1">
      <alignment vertical="center"/>
    </xf>
    <xf numFmtId="165" fontId="10" fillId="4" borderId="1" xfId="1" applyNumberFormat="1" applyFont="1" applyFill="1" applyBorder="1" applyAlignment="1">
      <alignment horizontal="right" vertical="center" wrapText="1"/>
    </xf>
    <xf numFmtId="165" fontId="10" fillId="4" borderId="27" xfId="1" applyNumberFormat="1" applyFont="1" applyFill="1" applyBorder="1" applyAlignment="1">
      <alignment horizontal="right" vertical="center" wrapText="1"/>
    </xf>
    <xf numFmtId="164" fontId="5" fillId="11" borderId="1" xfId="1" applyNumberFormat="1" applyFont="1" applyFill="1" applyBorder="1" applyAlignment="1">
      <alignment horizontal="left" vertical="center"/>
    </xf>
    <xf numFmtId="0" fontId="5" fillId="5" borderId="24" xfId="0" applyFont="1" applyFill="1" applyBorder="1" applyAlignment="1">
      <alignment vertical="center"/>
    </xf>
    <xf numFmtId="164" fontId="5" fillId="5" borderId="22" xfId="0" applyNumberFormat="1" applyFont="1" applyFill="1" applyBorder="1" applyAlignment="1">
      <alignment horizontal="center" vertical="center"/>
    </xf>
    <xf numFmtId="165" fontId="10" fillId="5" borderId="27" xfId="1" applyNumberFormat="1" applyFont="1" applyFill="1" applyBorder="1" applyAlignment="1">
      <alignment horizontal="right" vertical="center" wrapText="1"/>
    </xf>
    <xf numFmtId="0" fontId="5" fillId="12" borderId="1" xfId="0" applyFont="1" applyFill="1" applyBorder="1" applyAlignment="1">
      <alignment vertical="center"/>
    </xf>
    <xf numFmtId="164" fontId="5" fillId="12" borderId="1" xfId="1" applyNumberFormat="1" applyFont="1" applyFill="1" applyBorder="1" applyAlignment="1">
      <alignment vertical="center"/>
    </xf>
    <xf numFmtId="165" fontId="10" fillId="10" borderId="24" xfId="1" applyNumberFormat="1" applyFont="1" applyFill="1" applyBorder="1" applyAlignment="1">
      <alignment horizontal="right" vertical="center" wrapText="1"/>
    </xf>
    <xf numFmtId="164" fontId="5" fillId="13" borderId="1" xfId="1" applyNumberFormat="1" applyFont="1" applyFill="1" applyBorder="1" applyAlignment="1">
      <alignment vertical="center"/>
    </xf>
    <xf numFmtId="164" fontId="0" fillId="0" borderId="0" xfId="1" applyNumberFormat="1" applyFont="1"/>
    <xf numFmtId="164" fontId="14" fillId="0" borderId="0" xfId="0" applyNumberFormat="1" applyFont="1" applyAlignment="1">
      <alignment vertical="center"/>
    </xf>
    <xf numFmtId="0" fontId="4" fillId="6" borderId="29" xfId="0" applyFont="1" applyFill="1" applyBorder="1" applyAlignment="1">
      <alignment horizontal="center" vertical="center" wrapText="1"/>
    </xf>
    <xf numFmtId="165" fontId="4" fillId="6" borderId="29" xfId="1" applyNumberFormat="1" applyFont="1" applyFill="1" applyBorder="1" applyAlignment="1">
      <alignment horizontal="right" vertical="center" wrapText="1"/>
    </xf>
    <xf numFmtId="164" fontId="0" fillId="6" borderId="29" xfId="1" applyNumberFormat="1" applyFont="1" applyFill="1" applyBorder="1" applyAlignment="1">
      <alignment vertical="center"/>
    </xf>
    <xf numFmtId="165" fontId="10" fillId="6" borderId="29" xfId="1" applyNumberFormat="1" applyFont="1" applyFill="1" applyBorder="1" applyAlignment="1">
      <alignment horizontal="right" vertical="center" wrapText="1"/>
    </xf>
    <xf numFmtId="0" fontId="4" fillId="6" borderId="23" xfId="0" applyFont="1" applyFill="1" applyBorder="1" applyAlignment="1">
      <alignment horizontal="center" vertical="center" wrapText="1"/>
    </xf>
    <xf numFmtId="165" fontId="4" fillId="6" borderId="23" xfId="1" applyNumberFormat="1" applyFont="1" applyFill="1" applyBorder="1" applyAlignment="1">
      <alignment horizontal="right" vertical="center" wrapText="1"/>
    </xf>
    <xf numFmtId="164" fontId="0" fillId="6" borderId="23" xfId="1" applyNumberFormat="1" applyFont="1" applyFill="1" applyBorder="1" applyAlignment="1">
      <alignment vertical="center"/>
    </xf>
    <xf numFmtId="165" fontId="10" fillId="6" borderId="23" xfId="1" applyNumberFormat="1" applyFont="1" applyFill="1" applyBorder="1" applyAlignment="1">
      <alignment horizontal="right" vertical="center" wrapText="1"/>
    </xf>
    <xf numFmtId="0" fontId="4" fillId="6" borderId="24" xfId="0" applyFont="1" applyFill="1" applyBorder="1" applyAlignment="1">
      <alignment horizontal="center" vertical="center" wrapText="1"/>
    </xf>
    <xf numFmtId="165" fontId="4" fillId="6" borderId="24" xfId="1" applyNumberFormat="1" applyFont="1" applyFill="1" applyBorder="1" applyAlignment="1">
      <alignment horizontal="right" vertical="center" wrapText="1"/>
    </xf>
    <xf numFmtId="164" fontId="0" fillId="6" borderId="24" xfId="1" applyNumberFormat="1" applyFont="1" applyFill="1" applyBorder="1" applyAlignment="1">
      <alignment vertical="center"/>
    </xf>
    <xf numFmtId="165" fontId="10" fillId="6" borderId="24" xfId="1" applyNumberFormat="1" applyFont="1" applyFill="1" applyBorder="1" applyAlignment="1">
      <alignment horizontal="right" vertical="center" wrapText="1"/>
    </xf>
    <xf numFmtId="0" fontId="0" fillId="0" borderId="24" xfId="0" applyBorder="1" applyAlignment="1">
      <alignment vertical="center"/>
    </xf>
    <xf numFmtId="0" fontId="0" fillId="6" borderId="23" xfId="0" applyFill="1" applyBorder="1" applyAlignment="1">
      <alignment vertical="center"/>
    </xf>
    <xf numFmtId="0" fontId="0" fillId="6" borderId="24" xfId="0" applyFill="1" applyBorder="1" applyAlignment="1">
      <alignment vertical="center"/>
    </xf>
    <xf numFmtId="164" fontId="0" fillId="8" borderId="1" xfId="1" applyNumberFormat="1" applyFont="1" applyFill="1" applyBorder="1" applyAlignment="1">
      <alignment horizontal="right"/>
    </xf>
    <xf numFmtId="0" fontId="0" fillId="8" borderId="0" xfId="0" applyFill="1" applyAlignment="1">
      <alignment vertical="top" wrapText="1"/>
    </xf>
    <xf numFmtId="0" fontId="0" fillId="0" borderId="1" xfId="0" applyBorder="1" applyAlignment="1">
      <alignment horizontal="center" vertical="center"/>
    </xf>
    <xf numFmtId="165" fontId="4" fillId="0" borderId="24" xfId="1" applyNumberFormat="1" applyFont="1" applyFill="1" applyBorder="1" applyAlignment="1">
      <alignment horizontal="right" vertical="center" wrapText="1"/>
    </xf>
    <xf numFmtId="0" fontId="0" fillId="0" borderId="1" xfId="0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164" fontId="0" fillId="8" borderId="0" xfId="1" applyNumberFormat="1" applyFont="1" applyFill="1"/>
    <xf numFmtId="164" fontId="5" fillId="0" borderId="0" xfId="1" applyNumberFormat="1" applyFont="1" applyAlignment="1">
      <alignment horizontal="center"/>
    </xf>
    <xf numFmtId="0" fontId="5" fillId="9" borderId="0" xfId="0" applyFont="1" applyFill="1"/>
    <xf numFmtId="164" fontId="5" fillId="9" borderId="0" xfId="1" applyNumberFormat="1" applyFont="1" applyFill="1"/>
    <xf numFmtId="0" fontId="0" fillId="0" borderId="0" xfId="0" quotePrefix="1"/>
    <xf numFmtId="164" fontId="0" fillId="0" borderId="0" xfId="0" applyNumberFormat="1" applyAlignment="1">
      <alignment horizontal="center" vertical="center"/>
    </xf>
    <xf numFmtId="0" fontId="16" fillId="14" borderId="0" xfId="0" applyFont="1" applyFill="1"/>
    <xf numFmtId="164" fontId="5" fillId="9" borderId="0" xfId="0" applyNumberFormat="1" applyFont="1" applyFill="1"/>
    <xf numFmtId="0" fontId="15" fillId="14" borderId="0" xfId="0" applyFont="1" applyFill="1"/>
    <xf numFmtId="164" fontId="15" fillId="14" borderId="0" xfId="0" applyNumberFormat="1" applyFont="1" applyFill="1"/>
    <xf numFmtId="9" fontId="0" fillId="0" borderId="0" xfId="3" applyFont="1" applyAlignment="1">
      <alignment vertical="center"/>
    </xf>
    <xf numFmtId="165" fontId="10" fillId="10" borderId="1" xfId="1" applyNumberFormat="1" applyFont="1" applyFill="1" applyBorder="1" applyAlignment="1">
      <alignment horizontal="right" vertical="center" wrapText="1"/>
    </xf>
    <xf numFmtId="165" fontId="10" fillId="5" borderId="1" xfId="1" applyNumberFormat="1" applyFont="1" applyFill="1" applyBorder="1" applyAlignment="1">
      <alignment horizontal="left" vertical="center" wrapText="1"/>
    </xf>
    <xf numFmtId="5" fontId="0" fillId="8" borderId="1" xfId="1" applyNumberFormat="1" applyFont="1" applyFill="1" applyBorder="1" applyAlignment="1">
      <alignment horizontal="right"/>
    </xf>
    <xf numFmtId="0" fontId="0" fillId="0" borderId="24" xfId="0" applyFill="1" applyBorder="1" applyAlignment="1">
      <alignment vertical="center"/>
    </xf>
    <xf numFmtId="0" fontId="18" fillId="0" borderId="0" xfId="0" quotePrefix="1" applyFont="1"/>
    <xf numFmtId="0" fontId="4" fillId="0" borderId="0" xfId="0" applyFont="1" applyAlignment="1"/>
    <xf numFmtId="0" fontId="4" fillId="0" borderId="0" xfId="0" applyFont="1"/>
    <xf numFmtId="0" fontId="10" fillId="0" borderId="0" xfId="0" applyFont="1" applyAlignment="1">
      <alignment horizontal="justify" vertical="center" readingOrder="1"/>
    </xf>
    <xf numFmtId="0" fontId="19" fillId="0" borderId="0" xfId="0" applyFont="1" applyAlignment="1">
      <alignment horizontal="justify" vertical="center" readingOrder="1"/>
    </xf>
    <xf numFmtId="0" fontId="4" fillId="0" borderId="0" xfId="0" applyFont="1" applyAlignment="1">
      <alignment horizontal="justify" vertical="center" readingOrder="1"/>
    </xf>
    <xf numFmtId="0" fontId="19" fillId="0" borderId="0" xfId="0" applyFont="1" applyAlignment="1">
      <alignment horizontal="right" vertical="center" readingOrder="1"/>
    </xf>
    <xf numFmtId="0" fontId="4" fillId="0" borderId="19" xfId="0" applyFont="1" applyBorder="1"/>
    <xf numFmtId="0" fontId="4" fillId="0" borderId="30" xfId="0" applyFont="1" applyBorder="1"/>
    <xf numFmtId="0" fontId="4" fillId="0" borderId="21" xfId="0" applyFont="1" applyBorder="1"/>
    <xf numFmtId="0" fontId="4" fillId="0" borderId="19" xfId="0" applyFont="1" applyFill="1" applyBorder="1"/>
    <xf numFmtId="0" fontId="4" fillId="0" borderId="30" xfId="0" applyFont="1" applyFill="1" applyBorder="1"/>
    <xf numFmtId="0" fontId="4" fillId="0" borderId="21" xfId="0" applyFont="1" applyFill="1" applyBorder="1"/>
    <xf numFmtId="0" fontId="4" fillId="0" borderId="23" xfId="0" applyFont="1" applyBorder="1" applyAlignment="1">
      <alignment horizontal="center"/>
    </xf>
    <xf numFmtId="164" fontId="4" fillId="0" borderId="23" xfId="1" applyNumberFormat="1" applyFont="1" applyFill="1" applyBorder="1"/>
    <xf numFmtId="164" fontId="4" fillId="0" borderId="29" xfId="1" applyNumberFormat="1" applyFont="1" applyFill="1" applyBorder="1"/>
    <xf numFmtId="164" fontId="4" fillId="0" borderId="24" xfId="1" applyNumberFormat="1" applyFont="1" applyFill="1" applyBorder="1"/>
    <xf numFmtId="164" fontId="4" fillId="0" borderId="0" xfId="1" applyNumberFormat="1" applyFont="1"/>
    <xf numFmtId="164" fontId="4" fillId="0" borderId="23" xfId="1" applyNumberFormat="1" applyFont="1" applyBorder="1"/>
    <xf numFmtId="164" fontId="4" fillId="0" borderId="29" xfId="1" applyNumberFormat="1" applyFont="1" applyBorder="1"/>
    <xf numFmtId="164" fontId="4" fillId="0" borderId="24" xfId="1" applyNumberFormat="1" applyFont="1" applyBorder="1"/>
    <xf numFmtId="0" fontId="10" fillId="0" borderId="23" xfId="0" applyFont="1" applyBorder="1" applyAlignment="1">
      <alignment horizontal="center"/>
    </xf>
    <xf numFmtId="164" fontId="10" fillId="0" borderId="23" xfId="1" applyNumberFormat="1" applyFont="1" applyFill="1" applyBorder="1"/>
    <xf numFmtId="164" fontId="10" fillId="0" borderId="29" xfId="1" applyNumberFormat="1" applyFont="1" applyFill="1" applyBorder="1"/>
    <xf numFmtId="164" fontId="10" fillId="0" borderId="24" xfId="1" applyNumberFormat="1" applyFont="1" applyFill="1" applyBorder="1"/>
    <xf numFmtId="164" fontId="10" fillId="0" borderId="0" xfId="1" applyNumberFormat="1" applyFont="1"/>
    <xf numFmtId="164" fontId="10" fillId="0" borderId="23" xfId="1" applyNumberFormat="1" applyFont="1" applyBorder="1"/>
    <xf numFmtId="164" fontId="10" fillId="0" borderId="29" xfId="1" applyNumberFormat="1" applyFont="1" applyBorder="1"/>
    <xf numFmtId="164" fontId="10" fillId="0" borderId="24" xfId="1" applyNumberFormat="1" applyFont="1" applyBorder="1"/>
    <xf numFmtId="164" fontId="10" fillId="0" borderId="1" xfId="1" applyNumberFormat="1" applyFont="1" applyBorder="1"/>
    <xf numFmtId="0" fontId="10" fillId="0" borderId="28" xfId="0" applyFont="1" applyBorder="1"/>
    <xf numFmtId="0" fontId="0" fillId="0" borderId="0" xfId="0" applyAlignment="1">
      <alignment vertical="center" wrapText="1"/>
    </xf>
    <xf numFmtId="164" fontId="0" fillId="0" borderId="0" xfId="1" applyNumberFormat="1" applyFont="1" applyAlignment="1">
      <alignment vertical="center"/>
    </xf>
    <xf numFmtId="0" fontId="0" fillId="0" borderId="0" xfId="0" quotePrefix="1" applyAlignment="1">
      <alignment vertical="center"/>
    </xf>
    <xf numFmtId="5" fontId="0" fillId="0" borderId="0" xfId="1" applyNumberFormat="1" applyFont="1" applyAlignment="1">
      <alignment vertical="center"/>
    </xf>
    <xf numFmtId="39" fontId="0" fillId="0" borderId="0" xfId="1" applyNumberFormat="1" applyFont="1" applyAlignment="1">
      <alignment vertical="center"/>
    </xf>
    <xf numFmtId="39" fontId="0" fillId="0" borderId="0" xfId="0" applyNumberFormat="1" applyAlignment="1">
      <alignment vertical="center"/>
    </xf>
    <xf numFmtId="0" fontId="20" fillId="0" borderId="0" xfId="0" applyFont="1" applyAlignment="1">
      <alignment vertical="center"/>
    </xf>
    <xf numFmtId="5" fontId="20" fillId="0" borderId="0" xfId="1" applyNumberFormat="1" applyFont="1" applyAlignment="1">
      <alignment vertical="center"/>
    </xf>
    <xf numFmtId="0" fontId="20" fillId="0" borderId="0" xfId="0" quotePrefix="1" applyFont="1" applyAlignment="1">
      <alignment vertical="center"/>
    </xf>
    <xf numFmtId="0" fontId="0" fillId="0" borderId="25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65" fontId="4" fillId="0" borderId="29" xfId="1" applyNumberFormat="1" applyFont="1" applyFill="1" applyBorder="1" applyAlignment="1">
      <alignment horizontal="right" vertical="center" wrapText="1"/>
    </xf>
    <xf numFmtId="0" fontId="0" fillId="0" borderId="23" xfId="0" applyBorder="1" applyAlignment="1">
      <alignment horizontal="center" vertical="center"/>
    </xf>
    <xf numFmtId="0" fontId="4" fillId="0" borderId="22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0" fillId="0" borderId="19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4" fillId="0" borderId="25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165" fontId="0" fillId="0" borderId="23" xfId="1" applyNumberFormat="1" applyFont="1" applyFill="1" applyBorder="1" applyAlignment="1">
      <alignment horizontal="right" vertical="center"/>
    </xf>
    <xf numFmtId="165" fontId="0" fillId="0" borderId="29" xfId="1" applyNumberFormat="1" applyFont="1" applyFill="1" applyBorder="1" applyAlignment="1">
      <alignment horizontal="right" vertical="center"/>
    </xf>
    <xf numFmtId="0" fontId="5" fillId="0" borderId="0" xfId="0" applyFont="1" applyAlignment="1">
      <alignment vertical="center"/>
    </xf>
    <xf numFmtId="0" fontId="5" fillId="6" borderId="1" xfId="0" applyFont="1" applyFill="1" applyBorder="1" applyAlignment="1">
      <alignment vertical="center"/>
    </xf>
    <xf numFmtId="0" fontId="5" fillId="6" borderId="22" xfId="0" applyFont="1" applyFill="1" applyBorder="1" applyAlignment="1">
      <alignment vertical="center"/>
    </xf>
    <xf numFmtId="164" fontId="5" fillId="0" borderId="27" xfId="1" applyNumberFormat="1" applyFont="1" applyBorder="1" applyAlignment="1">
      <alignment vertical="center"/>
    </xf>
    <xf numFmtId="164" fontId="5" fillId="0" borderId="27" xfId="0" applyNumberFormat="1" applyFont="1" applyFill="1" applyBorder="1" applyAlignment="1">
      <alignment vertical="center"/>
    </xf>
    <xf numFmtId="0" fontId="5" fillId="6" borderId="27" xfId="0" applyFont="1" applyFill="1" applyBorder="1" applyAlignment="1">
      <alignment vertical="center"/>
    </xf>
    <xf numFmtId="168" fontId="0" fillId="0" borderId="23" xfId="0" applyNumberFormat="1" applyBorder="1" applyAlignment="1">
      <alignment horizontal="center"/>
    </xf>
    <xf numFmtId="168" fontId="0" fillId="0" borderId="29" xfId="0" applyNumberFormat="1" applyBorder="1" applyAlignment="1">
      <alignment horizontal="center"/>
    </xf>
    <xf numFmtId="168" fontId="0" fillId="0" borderId="24" xfId="0" applyNumberFormat="1" applyBorder="1" applyAlignment="1">
      <alignment horizontal="center"/>
    </xf>
    <xf numFmtId="164" fontId="5" fillId="0" borderId="0" xfId="0" applyNumberFormat="1" applyFont="1" applyAlignment="1">
      <alignment vertical="center"/>
    </xf>
    <xf numFmtId="165" fontId="5" fillId="0" borderId="0" xfId="0" applyNumberFormat="1" applyFont="1" applyAlignment="1">
      <alignment vertical="center"/>
    </xf>
    <xf numFmtId="164" fontId="4" fillId="0" borderId="0" xfId="0" applyNumberFormat="1" applyFont="1"/>
    <xf numFmtId="164" fontId="21" fillId="0" borderId="0" xfId="1" applyNumberFormat="1" applyFont="1"/>
    <xf numFmtId="0" fontId="22" fillId="0" borderId="0" xfId="7" applyFill="1" applyBorder="1" applyAlignment="1">
      <alignment horizontal="left" vertical="top"/>
    </xf>
    <xf numFmtId="0" fontId="24" fillId="16" borderId="67" xfId="7" applyFont="1" applyFill="1" applyBorder="1" applyAlignment="1">
      <alignment horizontal="left" vertical="top" wrapText="1"/>
    </xf>
    <xf numFmtId="0" fontId="24" fillId="0" borderId="67" xfId="7" applyFont="1" applyFill="1" applyBorder="1" applyAlignment="1">
      <alignment horizontal="center" vertical="top" wrapText="1"/>
    </xf>
    <xf numFmtId="0" fontId="22" fillId="0" borderId="67" xfId="7" applyFill="1" applyBorder="1" applyAlignment="1">
      <alignment horizontal="left" wrapText="1"/>
    </xf>
    <xf numFmtId="0" fontId="24" fillId="0" borderId="67" xfId="7" applyFont="1" applyFill="1" applyBorder="1" applyAlignment="1">
      <alignment horizontal="left" vertical="top" wrapText="1"/>
    </xf>
    <xf numFmtId="1" fontId="27" fillId="0" borderId="67" xfId="7" applyNumberFormat="1" applyFont="1" applyFill="1" applyBorder="1" applyAlignment="1">
      <alignment horizontal="left" vertical="top" shrinkToFit="1"/>
    </xf>
    <xf numFmtId="3" fontId="27" fillId="0" borderId="67" xfId="7" applyNumberFormat="1" applyFont="1" applyFill="1" applyBorder="1" applyAlignment="1">
      <alignment horizontal="left" vertical="top" shrinkToFit="1"/>
    </xf>
    <xf numFmtId="169" fontId="27" fillId="0" borderId="67" xfId="7" applyNumberFormat="1" applyFont="1" applyFill="1" applyBorder="1" applyAlignment="1">
      <alignment horizontal="right" vertical="top" shrinkToFit="1"/>
    </xf>
    <xf numFmtId="4" fontId="27" fillId="0" borderId="67" xfId="7" applyNumberFormat="1" applyFont="1" applyFill="1" applyBorder="1" applyAlignment="1">
      <alignment horizontal="right" vertical="top" shrinkToFit="1"/>
    </xf>
    <xf numFmtId="170" fontId="27" fillId="0" borderId="67" xfId="7" applyNumberFormat="1" applyFont="1" applyFill="1" applyBorder="1" applyAlignment="1">
      <alignment horizontal="center" vertical="top" shrinkToFit="1"/>
    </xf>
    <xf numFmtId="171" fontId="27" fillId="0" borderId="67" xfId="7" applyNumberFormat="1" applyFont="1" applyFill="1" applyBorder="1" applyAlignment="1">
      <alignment horizontal="left" vertical="top" shrinkToFit="1"/>
    </xf>
    <xf numFmtId="1" fontId="27" fillId="0" borderId="67" xfId="7" applyNumberFormat="1" applyFont="1" applyFill="1" applyBorder="1" applyAlignment="1">
      <alignment horizontal="center" vertical="top" shrinkToFit="1"/>
    </xf>
    <xf numFmtId="2" fontId="27" fillId="0" borderId="67" xfId="7" applyNumberFormat="1" applyFont="1" applyFill="1" applyBorder="1" applyAlignment="1">
      <alignment horizontal="right" vertical="top" shrinkToFit="1"/>
    </xf>
    <xf numFmtId="169" fontId="27" fillId="0" borderId="67" xfId="7" applyNumberFormat="1" applyFont="1" applyFill="1" applyBorder="1" applyAlignment="1">
      <alignment horizontal="left" vertical="top" shrinkToFit="1"/>
    </xf>
    <xf numFmtId="170" fontId="27" fillId="0" borderId="67" xfId="7" applyNumberFormat="1" applyFont="1" applyFill="1" applyBorder="1" applyAlignment="1">
      <alignment horizontal="left" vertical="top" shrinkToFit="1"/>
    </xf>
    <xf numFmtId="172" fontId="27" fillId="0" borderId="67" xfId="7" applyNumberFormat="1" applyFont="1" applyFill="1" applyBorder="1" applyAlignment="1">
      <alignment horizontal="right" vertical="top" shrinkToFit="1"/>
    </xf>
    <xf numFmtId="169" fontId="27" fillId="0" borderId="67" xfId="7" applyNumberFormat="1" applyFont="1" applyFill="1" applyBorder="1" applyAlignment="1">
      <alignment horizontal="center" vertical="top" shrinkToFit="1"/>
    </xf>
    <xf numFmtId="0" fontId="24" fillId="0" borderId="67" xfId="7" applyFont="1" applyFill="1" applyBorder="1" applyAlignment="1">
      <alignment horizontal="right" vertical="top" wrapText="1" indent="1"/>
    </xf>
    <xf numFmtId="4" fontId="26" fillId="0" borderId="67" xfId="7" applyNumberFormat="1" applyFont="1" applyFill="1" applyBorder="1" applyAlignment="1">
      <alignment horizontal="right" vertical="top" wrapText="1"/>
    </xf>
    <xf numFmtId="164" fontId="5" fillId="6" borderId="23" xfId="1" applyNumberFormat="1" applyFont="1" applyFill="1" applyBorder="1" applyAlignment="1">
      <alignment horizontal="center" vertical="center"/>
    </xf>
    <xf numFmtId="0" fontId="5" fillId="0" borderId="19" xfId="0" applyFont="1" applyBorder="1" applyAlignment="1">
      <alignment horizontal="left" vertical="center" wrapText="1"/>
    </xf>
    <xf numFmtId="5" fontId="5" fillId="0" borderId="23" xfId="1" applyNumberFormat="1" applyFont="1" applyBorder="1" applyAlignment="1">
      <alignment horizontal="right" vertical="center"/>
    </xf>
    <xf numFmtId="0" fontId="5" fillId="0" borderId="23" xfId="0" applyFont="1" applyBorder="1" applyAlignment="1">
      <alignment horizontal="right" vertical="center"/>
    </xf>
    <xf numFmtId="0" fontId="18" fillId="0" borderId="30" xfId="0" applyFont="1" applyBorder="1" applyAlignment="1">
      <alignment horizontal="right" vertical="center"/>
    </xf>
    <xf numFmtId="5" fontId="0" fillId="0" borderId="29" xfId="0" applyNumberFormat="1" applyBorder="1" applyAlignment="1">
      <alignment vertical="center"/>
    </xf>
    <xf numFmtId="5" fontId="18" fillId="0" borderId="29" xfId="1" applyNumberFormat="1" applyFont="1" applyBorder="1" applyAlignment="1">
      <alignment vertical="center"/>
    </xf>
    <xf numFmtId="0" fontId="18" fillId="0" borderId="29" xfId="0" applyFont="1" applyBorder="1" applyAlignment="1">
      <alignment vertical="center"/>
    </xf>
    <xf numFmtId="0" fontId="18" fillId="0" borderId="21" xfId="0" applyFont="1" applyBorder="1" applyAlignment="1">
      <alignment horizontal="right" vertical="center"/>
    </xf>
    <xf numFmtId="166" fontId="18" fillId="0" borderId="24" xfId="3" applyNumberFormat="1" applyFont="1" applyBorder="1" applyAlignment="1">
      <alignment vertical="center"/>
    </xf>
    <xf numFmtId="0" fontId="18" fillId="0" borderId="24" xfId="0" applyFont="1" applyBorder="1" applyAlignment="1">
      <alignment vertical="center"/>
    </xf>
    <xf numFmtId="0" fontId="5" fillId="0" borderId="30" xfId="0" applyFont="1" applyBorder="1" applyAlignment="1">
      <alignment vertical="center"/>
    </xf>
    <xf numFmtId="5" fontId="5" fillId="0" borderId="29" xfId="1" applyNumberFormat="1" applyFont="1" applyBorder="1" applyAlignment="1">
      <alignment horizontal="center" vertical="center"/>
    </xf>
    <xf numFmtId="0" fontId="5" fillId="0" borderId="29" xfId="0" applyFont="1" applyBorder="1" applyAlignment="1">
      <alignment vertical="center"/>
    </xf>
    <xf numFmtId="0" fontId="5" fillId="6" borderId="28" xfId="0" applyFont="1" applyFill="1" applyBorder="1" applyAlignment="1">
      <alignment vertical="center"/>
    </xf>
    <xf numFmtId="5" fontId="5" fillId="6" borderId="1" xfId="0" applyNumberFormat="1" applyFont="1" applyFill="1" applyBorder="1" applyAlignment="1">
      <alignment vertical="center"/>
    </xf>
    <xf numFmtId="0" fontId="5" fillId="0" borderId="23" xfId="0" applyFont="1" applyBorder="1" applyAlignment="1">
      <alignment horizontal="center"/>
    </xf>
    <xf numFmtId="0" fontId="5" fillId="18" borderId="28" xfId="0" applyFont="1" applyFill="1" applyBorder="1"/>
    <xf numFmtId="164" fontId="5" fillId="18" borderId="1" xfId="1" applyNumberFormat="1" applyFont="1" applyFill="1" applyBorder="1"/>
    <xf numFmtId="0" fontId="0" fillId="0" borderId="19" xfId="0" applyBorder="1"/>
    <xf numFmtId="164" fontId="0" fillId="0" borderId="23" xfId="1" applyNumberFormat="1" applyFont="1" applyBorder="1"/>
    <xf numFmtId="0" fontId="0" fillId="0" borderId="30" xfId="0" applyBorder="1"/>
    <xf numFmtId="164" fontId="0" fillId="0" borderId="29" xfId="1" applyNumberFormat="1" applyFont="1" applyBorder="1"/>
    <xf numFmtId="0" fontId="5" fillId="0" borderId="21" xfId="0" applyFont="1" applyBorder="1"/>
    <xf numFmtId="164" fontId="5" fillId="0" borderId="24" xfId="1" applyNumberFormat="1" applyFont="1" applyBorder="1"/>
    <xf numFmtId="0" fontId="5" fillId="0" borderId="26" xfId="0" applyFont="1" applyFill="1" applyBorder="1"/>
    <xf numFmtId="164" fontId="5" fillId="0" borderId="26" xfId="1" applyNumberFormat="1" applyFont="1" applyFill="1" applyBorder="1"/>
    <xf numFmtId="0" fontId="5" fillId="0" borderId="0" xfId="0" applyFont="1" applyFill="1" applyBorder="1"/>
    <xf numFmtId="0" fontId="5" fillId="18" borderId="21" xfId="0" applyFont="1" applyFill="1" applyBorder="1"/>
    <xf numFmtId="164" fontId="5" fillId="18" borderId="24" xfId="1" applyNumberFormat="1" applyFont="1" applyFill="1" applyBorder="1"/>
    <xf numFmtId="164" fontId="5" fillId="18" borderId="1" xfId="0" applyNumberFormat="1" applyFont="1" applyFill="1" applyBorder="1"/>
    <xf numFmtId="0" fontId="0" fillId="0" borderId="11" xfId="0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0" fillId="0" borderId="13" xfId="0" applyBorder="1" applyAlignment="1">
      <alignment horizontal="left" vertical="top" wrapText="1"/>
    </xf>
    <xf numFmtId="0" fontId="0" fillId="0" borderId="14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15" xfId="0" applyBorder="1" applyAlignment="1">
      <alignment horizontal="left" vertical="top" wrapText="1"/>
    </xf>
    <xf numFmtId="0" fontId="0" fillId="0" borderId="16" xfId="0" applyBorder="1" applyAlignment="1">
      <alignment horizontal="left" vertical="top" wrapText="1"/>
    </xf>
    <xf numFmtId="0" fontId="0" fillId="0" borderId="17" xfId="0" applyBorder="1" applyAlignment="1">
      <alignment horizontal="left" vertical="top" wrapText="1"/>
    </xf>
    <xf numFmtId="0" fontId="0" fillId="0" borderId="18" xfId="0" applyBorder="1" applyAlignment="1">
      <alignment horizontal="left" vertical="top" wrapText="1"/>
    </xf>
    <xf numFmtId="0" fontId="0" fillId="0" borderId="12" xfId="0" applyBorder="1" applyAlignment="1">
      <alignment horizontal="left" vertical="top"/>
    </xf>
    <xf numFmtId="0" fontId="0" fillId="0" borderId="13" xfId="0" applyBorder="1" applyAlignment="1">
      <alignment horizontal="left" vertical="top"/>
    </xf>
    <xf numFmtId="0" fontId="0" fillId="0" borderId="14" xfId="0" applyBorder="1" applyAlignment="1">
      <alignment horizontal="left" vertical="top"/>
    </xf>
    <xf numFmtId="0" fontId="0" fillId="0" borderId="0" xfId="0" applyBorder="1" applyAlignment="1">
      <alignment horizontal="left" vertical="top"/>
    </xf>
    <xf numFmtId="0" fontId="0" fillId="0" borderId="15" xfId="0" applyBorder="1" applyAlignment="1">
      <alignment horizontal="left" vertical="top"/>
    </xf>
    <xf numFmtId="0" fontId="0" fillId="0" borderId="16" xfId="0" applyBorder="1" applyAlignment="1">
      <alignment horizontal="left" vertical="top"/>
    </xf>
    <xf numFmtId="0" fontId="0" fillId="0" borderId="17" xfId="0" applyBorder="1" applyAlignment="1">
      <alignment horizontal="left" vertical="top"/>
    </xf>
    <xf numFmtId="0" fontId="0" fillId="0" borderId="18" xfId="0" applyBorder="1" applyAlignment="1">
      <alignment horizontal="left" vertical="top"/>
    </xf>
    <xf numFmtId="0" fontId="8" fillId="2" borderId="19" xfId="0" applyFont="1" applyFill="1" applyBorder="1" applyAlignment="1">
      <alignment horizontal="center" vertical="center"/>
    </xf>
    <xf numFmtId="0" fontId="8" fillId="2" borderId="25" xfId="0" applyFont="1" applyFill="1" applyBorder="1" applyAlignment="1">
      <alignment horizontal="center" vertical="center"/>
    </xf>
    <xf numFmtId="0" fontId="8" fillId="2" borderId="20" xfId="0" applyFont="1" applyFill="1" applyBorder="1" applyAlignment="1">
      <alignment horizontal="center" vertical="center"/>
    </xf>
    <xf numFmtId="0" fontId="8" fillId="2" borderId="21" xfId="0" applyFont="1" applyFill="1" applyBorder="1" applyAlignment="1">
      <alignment horizontal="center" vertical="center"/>
    </xf>
    <xf numFmtId="0" fontId="8" fillId="2" borderId="26" xfId="0" applyFont="1" applyFill="1" applyBorder="1" applyAlignment="1">
      <alignment horizontal="center" vertical="center"/>
    </xf>
    <xf numFmtId="0" fontId="8" fillId="2" borderId="22" xfId="0" applyFont="1" applyFill="1" applyBorder="1" applyAlignment="1">
      <alignment horizontal="center" vertical="center"/>
    </xf>
    <xf numFmtId="0" fontId="8" fillId="3" borderId="1" xfId="0" applyFont="1" applyFill="1" applyBorder="1" applyAlignment="1"/>
    <xf numFmtId="0" fontId="8" fillId="2" borderId="1" xfId="0" applyFont="1" applyFill="1" applyBorder="1" applyAlignment="1">
      <alignment horizontal="left" vertical="center"/>
    </xf>
    <xf numFmtId="0" fontId="8" fillId="2" borderId="1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vertical="center"/>
    </xf>
    <xf numFmtId="0" fontId="8" fillId="3" borderId="1" xfId="0" applyFont="1" applyFill="1" applyBorder="1" applyAlignment="1">
      <alignment horizontal="left"/>
    </xf>
    <xf numFmtId="0" fontId="7" fillId="2" borderId="1" xfId="0" applyFont="1" applyFill="1" applyBorder="1" applyAlignment="1">
      <alignment horizontal="center" vertical="center"/>
    </xf>
    <xf numFmtId="165" fontId="0" fillId="0" borderId="19" xfId="1" applyNumberFormat="1" applyFont="1" applyFill="1" applyBorder="1" applyAlignment="1">
      <alignment horizontal="right" vertical="center"/>
    </xf>
    <xf numFmtId="165" fontId="0" fillId="0" borderId="25" xfId="1" applyNumberFormat="1" applyFont="1" applyFill="1" applyBorder="1" applyAlignment="1">
      <alignment horizontal="right" vertical="center"/>
    </xf>
    <xf numFmtId="165" fontId="0" fillId="0" borderId="21" xfId="1" applyNumberFormat="1" applyFont="1" applyFill="1" applyBorder="1" applyAlignment="1">
      <alignment horizontal="right" vertical="center"/>
    </xf>
    <xf numFmtId="165" fontId="0" fillId="0" borderId="26" xfId="1" applyNumberFormat="1" applyFont="1" applyFill="1" applyBorder="1" applyAlignment="1">
      <alignment horizontal="right" vertical="center"/>
    </xf>
    <xf numFmtId="0" fontId="9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/>
    </xf>
    <xf numFmtId="165" fontId="10" fillId="0" borderId="23" xfId="1" applyNumberFormat="1" applyFont="1" applyFill="1" applyBorder="1" applyAlignment="1">
      <alignment horizontal="right" vertical="center" wrapText="1"/>
    </xf>
    <xf numFmtId="165" fontId="10" fillId="0" borderId="29" xfId="1" applyNumberFormat="1" applyFont="1" applyFill="1" applyBorder="1" applyAlignment="1">
      <alignment horizontal="right" vertical="center" wrapText="1"/>
    </xf>
    <xf numFmtId="165" fontId="4" fillId="0" borderId="23" xfId="1" applyNumberFormat="1" applyFont="1" applyFill="1" applyBorder="1" applyAlignment="1">
      <alignment horizontal="right" vertical="center" wrapText="1"/>
    </xf>
    <xf numFmtId="165" fontId="4" fillId="0" borderId="29" xfId="1" applyNumberFormat="1" applyFont="1" applyFill="1" applyBorder="1" applyAlignment="1">
      <alignment horizontal="right" vertical="center" wrapText="1"/>
    </xf>
    <xf numFmtId="164" fontId="5" fillId="0" borderId="23" xfId="1" applyNumberFormat="1" applyFont="1" applyBorder="1" applyAlignment="1">
      <alignment horizontal="center" vertical="center"/>
    </xf>
    <xf numFmtId="164" fontId="5" fillId="0" borderId="24" xfId="1" applyNumberFormat="1" applyFont="1" applyBorder="1" applyAlignment="1">
      <alignment horizontal="center" vertical="center"/>
    </xf>
    <xf numFmtId="164" fontId="10" fillId="0" borderId="23" xfId="1" applyNumberFormat="1" applyFont="1" applyFill="1" applyBorder="1" applyAlignment="1">
      <alignment horizontal="right" vertical="center" wrapText="1"/>
    </xf>
    <xf numFmtId="164" fontId="10" fillId="0" borderId="24" xfId="1" applyNumberFormat="1" applyFont="1" applyFill="1" applyBorder="1" applyAlignment="1">
      <alignment horizontal="right" vertical="center" wrapText="1"/>
    </xf>
    <xf numFmtId="0" fontId="0" fillId="0" borderId="23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164" fontId="5" fillId="0" borderId="29" xfId="1" applyNumberFormat="1" applyFont="1" applyBorder="1" applyAlignment="1">
      <alignment horizontal="center" vertical="center"/>
    </xf>
    <xf numFmtId="165" fontId="10" fillId="0" borderId="24" xfId="1" applyNumberFormat="1" applyFont="1" applyFill="1" applyBorder="1" applyAlignment="1">
      <alignment horizontal="right" vertical="center" wrapText="1"/>
    </xf>
    <xf numFmtId="165" fontId="5" fillId="0" borderId="23" xfId="0" applyNumberFormat="1" applyFont="1" applyBorder="1" applyAlignment="1">
      <alignment horizontal="right" vertical="center"/>
    </xf>
    <xf numFmtId="165" fontId="5" fillId="0" borderId="24" xfId="0" applyNumberFormat="1" applyFont="1" applyBorder="1" applyAlignment="1">
      <alignment horizontal="right" vertical="center"/>
    </xf>
    <xf numFmtId="0" fontId="5" fillId="4" borderId="1" xfId="0" applyFont="1" applyFill="1" applyBorder="1" applyAlignment="1">
      <alignment horizontal="center" vertical="center"/>
    </xf>
    <xf numFmtId="0" fontId="10" fillId="4" borderId="28" xfId="0" applyFont="1" applyFill="1" applyBorder="1" applyAlignment="1">
      <alignment horizontal="center" vertical="center" wrapText="1"/>
    </xf>
    <xf numFmtId="0" fontId="10" fillId="4" borderId="32" xfId="0" applyFont="1" applyFill="1" applyBorder="1" applyAlignment="1">
      <alignment horizontal="center" vertical="center" wrapText="1"/>
    </xf>
    <xf numFmtId="0" fontId="10" fillId="4" borderId="26" xfId="0" applyFont="1" applyFill="1" applyBorder="1" applyAlignment="1">
      <alignment horizontal="center" vertical="center" wrapText="1"/>
    </xf>
    <xf numFmtId="0" fontId="10" fillId="4" borderId="22" xfId="0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 wrapText="1"/>
    </xf>
    <xf numFmtId="164" fontId="10" fillId="0" borderId="29" xfId="1" applyNumberFormat="1" applyFont="1" applyFill="1" applyBorder="1" applyAlignment="1">
      <alignment horizontal="right" vertical="center" wrapText="1"/>
    </xf>
    <xf numFmtId="165" fontId="5" fillId="0" borderId="23" xfId="1" applyNumberFormat="1" applyFont="1" applyBorder="1" applyAlignment="1">
      <alignment horizontal="right" vertical="center"/>
    </xf>
    <xf numFmtId="165" fontId="5" fillId="0" borderId="29" xfId="1" applyNumberFormat="1" applyFont="1" applyBorder="1" applyAlignment="1">
      <alignment horizontal="right" vertical="center"/>
    </xf>
    <xf numFmtId="165" fontId="5" fillId="0" borderId="24" xfId="1" applyNumberFormat="1" applyFont="1" applyBorder="1" applyAlignment="1">
      <alignment horizontal="right" vertical="center"/>
    </xf>
    <xf numFmtId="0" fontId="4" fillId="0" borderId="27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horizontal="center" vertical="center" wrapText="1"/>
    </xf>
    <xf numFmtId="0" fontId="5" fillId="11" borderId="28" xfId="0" applyFont="1" applyFill="1" applyBorder="1" applyAlignment="1">
      <alignment horizontal="center" vertical="center"/>
    </xf>
    <xf numFmtId="0" fontId="5" fillId="11" borderId="32" xfId="0" applyFont="1" applyFill="1" applyBorder="1" applyAlignment="1">
      <alignment horizontal="center" vertical="center"/>
    </xf>
    <xf numFmtId="0" fontId="5" fillId="11" borderId="27" xfId="0" applyFont="1" applyFill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0" borderId="23" xfId="0" applyBorder="1" applyAlignment="1">
      <alignment horizontal="left" vertical="center"/>
    </xf>
    <xf numFmtId="165" fontId="5" fillId="0" borderId="29" xfId="0" applyNumberFormat="1" applyFont="1" applyBorder="1" applyAlignment="1">
      <alignment horizontal="right" vertical="center"/>
    </xf>
    <xf numFmtId="0" fontId="5" fillId="6" borderId="23" xfId="0" applyFont="1" applyFill="1" applyBorder="1" applyAlignment="1">
      <alignment horizontal="center" vertical="center"/>
    </xf>
    <xf numFmtId="0" fontId="5" fillId="6" borderId="24" xfId="0" applyFont="1" applyFill="1" applyBorder="1" applyAlignment="1">
      <alignment horizontal="center" vertical="center"/>
    </xf>
    <xf numFmtId="165" fontId="4" fillId="0" borderId="24" xfId="1" applyNumberFormat="1" applyFont="1" applyFill="1" applyBorder="1" applyAlignment="1">
      <alignment horizontal="right" vertical="center" wrapText="1"/>
    </xf>
    <xf numFmtId="165" fontId="1" fillId="0" borderId="20" xfId="1" applyNumberFormat="1" applyFont="1" applyBorder="1" applyAlignment="1">
      <alignment horizontal="right" vertical="center"/>
    </xf>
    <xf numFmtId="165" fontId="1" fillId="0" borderId="31" xfId="1" applyNumberFormat="1" applyFont="1" applyBorder="1" applyAlignment="1">
      <alignment horizontal="right" vertical="center"/>
    </xf>
    <xf numFmtId="165" fontId="1" fillId="0" borderId="29" xfId="1" applyNumberFormat="1" applyFont="1" applyBorder="1" applyAlignment="1">
      <alignment horizontal="right" vertical="center"/>
    </xf>
    <xf numFmtId="165" fontId="1" fillId="0" borderId="24" xfId="1" applyNumberFormat="1" applyFont="1" applyBorder="1" applyAlignment="1">
      <alignment horizontal="right" vertical="center"/>
    </xf>
    <xf numFmtId="0" fontId="0" fillId="0" borderId="1" xfId="0" applyFill="1" applyBorder="1" applyAlignment="1">
      <alignment horizontal="center" vertical="center"/>
    </xf>
    <xf numFmtId="0" fontId="5" fillId="5" borderId="1" xfId="0" applyFont="1" applyFill="1" applyBorder="1" applyAlignment="1">
      <alignment horizontal="center" vertical="center"/>
    </xf>
    <xf numFmtId="0" fontId="0" fillId="0" borderId="23" xfId="0" applyFill="1" applyBorder="1" applyAlignment="1">
      <alignment horizontal="center" vertical="center"/>
    </xf>
    <xf numFmtId="0" fontId="0" fillId="0" borderId="29" xfId="0" applyFill="1" applyBorder="1" applyAlignment="1">
      <alignment horizontal="center" vertical="center"/>
    </xf>
    <xf numFmtId="0" fontId="0" fillId="0" borderId="24" xfId="0" applyFill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center" wrapText="1"/>
    </xf>
    <xf numFmtId="0" fontId="4" fillId="0" borderId="30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0" fillId="0" borderId="23" xfId="0" applyFill="1" applyBorder="1" applyAlignment="1">
      <alignment horizontal="center" vertical="center" wrapText="1"/>
    </xf>
    <xf numFmtId="0" fontId="0" fillId="0" borderId="29" xfId="0" applyFill="1" applyBorder="1" applyAlignment="1">
      <alignment horizontal="center" vertical="center" wrapText="1"/>
    </xf>
    <xf numFmtId="0" fontId="0" fillId="0" borderId="24" xfId="0" applyFill="1" applyBorder="1" applyAlignment="1">
      <alignment horizontal="center" vertical="center" wrapText="1"/>
    </xf>
    <xf numFmtId="164" fontId="0" fillId="0" borderId="27" xfId="1" applyNumberFormat="1" applyFont="1" applyBorder="1" applyAlignment="1">
      <alignment horizontal="center" vertical="center"/>
    </xf>
    <xf numFmtId="164" fontId="0" fillId="0" borderId="1" xfId="1" applyNumberFormat="1" applyFont="1" applyBorder="1" applyAlignment="1">
      <alignment horizontal="center" vertical="center"/>
    </xf>
    <xf numFmtId="164" fontId="0" fillId="0" borderId="23" xfId="1" applyNumberFormat="1" applyFont="1" applyFill="1" applyBorder="1" applyAlignment="1">
      <alignment horizontal="center" vertical="center"/>
    </xf>
    <xf numFmtId="164" fontId="0" fillId="0" borderId="29" xfId="1" applyNumberFormat="1" applyFont="1" applyFill="1" applyBorder="1" applyAlignment="1">
      <alignment horizontal="center" vertical="center"/>
    </xf>
    <xf numFmtId="164" fontId="0" fillId="0" borderId="24" xfId="1" applyNumberFormat="1" applyFont="1" applyFill="1" applyBorder="1" applyAlignment="1">
      <alignment horizontal="center" vertical="center"/>
    </xf>
    <xf numFmtId="164" fontId="5" fillId="0" borderId="23" xfId="1" applyNumberFormat="1" applyFont="1" applyFill="1" applyBorder="1" applyAlignment="1">
      <alignment horizontal="center" vertical="center"/>
    </xf>
    <xf numFmtId="164" fontId="5" fillId="0" borderId="29" xfId="1" applyNumberFormat="1" applyFont="1" applyFill="1" applyBorder="1" applyAlignment="1">
      <alignment horizontal="center" vertical="center"/>
    </xf>
    <xf numFmtId="164" fontId="5" fillId="0" borderId="24" xfId="1" applyNumberFormat="1" applyFont="1" applyFill="1" applyBorder="1" applyAlignment="1">
      <alignment horizontal="center" vertical="center"/>
    </xf>
    <xf numFmtId="0" fontId="0" fillId="0" borderId="23" xfId="0" applyBorder="1" applyAlignment="1">
      <alignment horizontal="center" vertical="center" wrapText="1"/>
    </xf>
    <xf numFmtId="0" fontId="0" fillId="0" borderId="29" xfId="0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164" fontId="10" fillId="0" borderId="23" xfId="1" applyNumberFormat="1" applyFont="1" applyFill="1" applyBorder="1" applyAlignment="1">
      <alignment horizontal="center" vertical="center" wrapText="1"/>
    </xf>
    <xf numFmtId="164" fontId="10" fillId="0" borderId="29" xfId="1" applyNumberFormat="1" applyFont="1" applyFill="1" applyBorder="1" applyAlignment="1">
      <alignment horizontal="center" vertical="center" wrapText="1"/>
    </xf>
    <xf numFmtId="164" fontId="10" fillId="0" borderId="24" xfId="1" applyNumberFormat="1" applyFont="1" applyFill="1" applyBorder="1" applyAlignment="1">
      <alignment horizontal="center" vertical="center" wrapText="1"/>
    </xf>
    <xf numFmtId="0" fontId="15" fillId="17" borderId="19" xfId="0" applyFont="1" applyFill="1" applyBorder="1" applyAlignment="1">
      <alignment horizontal="center" vertical="center"/>
    </xf>
    <xf numFmtId="0" fontId="15" fillId="17" borderId="20" xfId="0" applyFont="1" applyFill="1" applyBorder="1" applyAlignment="1">
      <alignment horizontal="center" vertical="center"/>
    </xf>
    <xf numFmtId="164" fontId="0" fillId="0" borderId="0" xfId="1" applyNumberFormat="1" applyFont="1" applyAlignment="1">
      <alignment horizontal="center" vertical="center"/>
    </xf>
    <xf numFmtId="0" fontId="22" fillId="15" borderId="60" xfId="7" applyFill="1" applyBorder="1" applyAlignment="1">
      <alignment horizontal="left" vertical="top" wrapText="1" indent="1"/>
    </xf>
    <xf numFmtId="0" fontId="22" fillId="15" borderId="61" xfId="7" applyFill="1" applyBorder="1" applyAlignment="1">
      <alignment horizontal="left" vertical="top" wrapText="1" indent="1"/>
    </xf>
    <xf numFmtId="0" fontId="22" fillId="15" borderId="62" xfId="7" applyFill="1" applyBorder="1" applyAlignment="1">
      <alignment horizontal="left" vertical="top" wrapText="1" indent="1"/>
    </xf>
    <xf numFmtId="0" fontId="22" fillId="0" borderId="0" xfId="7" applyFill="1" applyBorder="1" applyAlignment="1">
      <alignment horizontal="left" vertical="top" wrapText="1" indent="1"/>
    </xf>
    <xf numFmtId="0" fontId="24" fillId="16" borderId="63" xfId="7" applyFont="1" applyFill="1" applyBorder="1" applyAlignment="1">
      <alignment horizontal="left" vertical="top" wrapText="1"/>
    </xf>
    <xf numFmtId="0" fontId="24" fillId="16" borderId="66" xfId="7" applyFont="1" applyFill="1" applyBorder="1" applyAlignment="1">
      <alignment horizontal="left" vertical="top" wrapText="1"/>
    </xf>
    <xf numFmtId="0" fontId="24" fillId="16" borderId="64" xfId="7" applyFont="1" applyFill="1" applyBorder="1" applyAlignment="1">
      <alignment horizontal="left" vertical="top" wrapText="1" indent="3"/>
    </xf>
    <xf numFmtId="0" fontId="24" fillId="16" borderId="65" xfId="7" applyFont="1" applyFill="1" applyBorder="1" applyAlignment="1">
      <alignment horizontal="left" vertical="top" wrapText="1" indent="3"/>
    </xf>
    <xf numFmtId="0" fontId="28" fillId="0" borderId="68" xfId="7" applyFont="1" applyFill="1" applyBorder="1" applyAlignment="1">
      <alignment horizontal="right" vertical="top" wrapText="1"/>
    </xf>
    <xf numFmtId="0" fontId="28" fillId="0" borderId="69" xfId="7" applyFont="1" applyFill="1" applyBorder="1" applyAlignment="1">
      <alignment horizontal="right" vertical="top" wrapText="1"/>
    </xf>
    <xf numFmtId="0" fontId="22" fillId="0" borderId="70" xfId="7" applyFill="1" applyBorder="1" applyAlignment="1">
      <alignment horizontal="left" wrapText="1"/>
    </xf>
    <xf numFmtId="0" fontId="22" fillId="0" borderId="68" xfId="7" applyFill="1" applyBorder="1" applyAlignment="1">
      <alignment horizontal="left" wrapText="1"/>
    </xf>
    <xf numFmtId="0" fontId="20" fillId="0" borderId="0" xfId="0" applyFont="1" applyAlignment="1">
      <alignment horizontal="center" vertical="center"/>
    </xf>
    <xf numFmtId="0" fontId="0" fillId="0" borderId="1" xfId="0" applyBorder="1" applyAlignment="1">
      <alignment vertical="center" wrapText="1"/>
    </xf>
    <xf numFmtId="164" fontId="0" fillId="0" borderId="1" xfId="1" applyNumberFormat="1" applyFont="1" applyBorder="1" applyAlignment="1">
      <alignment vertical="center"/>
    </xf>
    <xf numFmtId="0" fontId="0" fillId="0" borderId="23" xfId="0" applyBorder="1" applyAlignment="1">
      <alignment vertical="center" wrapText="1"/>
    </xf>
    <xf numFmtId="164" fontId="0" fillId="0" borderId="23" xfId="1" applyNumberFormat="1" applyFont="1" applyBorder="1" applyAlignment="1">
      <alignment vertical="center"/>
    </xf>
    <xf numFmtId="164" fontId="0" fillId="0" borderId="28" xfId="1" applyNumberFormat="1" applyFont="1" applyBorder="1" applyAlignment="1">
      <alignment vertical="center"/>
    </xf>
    <xf numFmtId="0" fontId="0" fillId="0" borderId="32" xfId="0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164" fontId="5" fillId="0" borderId="1" xfId="1" applyNumberFormat="1" applyFont="1" applyBorder="1" applyAlignment="1">
      <alignment vertical="center"/>
    </xf>
    <xf numFmtId="0" fontId="5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5" fontId="0" fillId="0" borderId="0" xfId="0" applyNumberFormat="1" applyAlignment="1">
      <alignment vertical="center"/>
    </xf>
    <xf numFmtId="164" fontId="0" fillId="0" borderId="24" xfId="0" applyNumberFormat="1" applyBorder="1" applyAlignment="1">
      <alignment vertical="center"/>
    </xf>
    <xf numFmtId="0" fontId="0" fillId="0" borderId="29" xfId="0" applyBorder="1" applyAlignment="1">
      <alignment vertical="center" wrapText="1"/>
    </xf>
    <xf numFmtId="0" fontId="0" fillId="0" borderId="24" xfId="0" applyBorder="1" applyAlignment="1">
      <alignment vertical="center" wrapText="1"/>
    </xf>
    <xf numFmtId="44" fontId="0" fillId="0" borderId="23" xfId="1" applyFont="1" applyBorder="1" applyAlignment="1">
      <alignment vertical="center"/>
    </xf>
    <xf numFmtId="44" fontId="0" fillId="0" borderId="29" xfId="1" applyFont="1" applyBorder="1" applyAlignment="1">
      <alignment vertical="center"/>
    </xf>
    <xf numFmtId="164" fontId="0" fillId="0" borderId="29" xfId="1" applyNumberFormat="1" applyFont="1" applyBorder="1" applyAlignment="1">
      <alignment vertical="center"/>
    </xf>
    <xf numFmtId="164" fontId="0" fillId="0" borderId="24" xfId="1" applyNumberFormat="1" applyFont="1" applyBorder="1" applyAlignment="1">
      <alignment vertical="center"/>
    </xf>
    <xf numFmtId="166" fontId="0" fillId="0" borderId="0" xfId="3" applyNumberFormat="1" applyFont="1" applyAlignment="1">
      <alignment vertical="center"/>
    </xf>
    <xf numFmtId="0" fontId="0" fillId="0" borderId="29" xfId="0" applyBorder="1" applyAlignment="1">
      <alignment horizontal="left" vertical="center" wrapText="1"/>
    </xf>
    <xf numFmtId="0" fontId="0" fillId="0" borderId="24" xfId="0" applyBorder="1" applyAlignment="1">
      <alignment horizontal="left" vertical="center" wrapText="1"/>
    </xf>
    <xf numFmtId="44" fontId="0" fillId="0" borderId="29" xfId="1" applyFont="1" applyBorder="1" applyAlignment="1">
      <alignment horizontal="right" vertical="center"/>
    </xf>
    <xf numFmtId="44" fontId="0" fillId="0" borderId="24" xfId="1" applyFont="1" applyBorder="1" applyAlignment="1">
      <alignment horizontal="right" vertical="center"/>
    </xf>
    <xf numFmtId="5" fontId="5" fillId="0" borderId="1" xfId="1" applyNumberFormat="1" applyFont="1" applyBorder="1" applyAlignment="1">
      <alignment vertical="center"/>
    </xf>
    <xf numFmtId="164" fontId="0" fillId="0" borderId="20" xfId="1" applyNumberFormat="1" applyFont="1" applyBorder="1" applyAlignment="1">
      <alignment vertical="center"/>
    </xf>
    <xf numFmtId="164" fontId="0" fillId="0" borderId="31" xfId="1" applyNumberFormat="1" applyFont="1" applyBorder="1" applyAlignment="1">
      <alignment vertical="center"/>
    </xf>
    <xf numFmtId="0" fontId="0" fillId="0" borderId="1" xfId="0" applyBorder="1" applyAlignment="1">
      <alignment horizontal="right" vertical="center" wrapText="1"/>
    </xf>
    <xf numFmtId="164" fontId="0" fillId="0" borderId="1" xfId="0" applyNumberFormat="1" applyBorder="1" applyAlignment="1">
      <alignment vertical="center"/>
    </xf>
    <xf numFmtId="0" fontId="0" fillId="0" borderId="0" xfId="0" applyBorder="1" applyAlignment="1">
      <alignment vertical="center" wrapText="1"/>
    </xf>
    <xf numFmtId="164" fontId="0" fillId="0" borderId="0" xfId="1" applyNumberFormat="1" applyFont="1" applyBorder="1" applyAlignment="1">
      <alignment vertical="center"/>
    </xf>
    <xf numFmtId="164" fontId="5" fillId="0" borderId="1" xfId="0" applyNumberFormat="1" applyFont="1" applyBorder="1" applyAlignment="1">
      <alignment vertical="center"/>
    </xf>
    <xf numFmtId="0" fontId="5" fillId="6" borderId="0" xfId="0" applyFont="1" applyFill="1"/>
    <xf numFmtId="164" fontId="5" fillId="6" borderId="0" xfId="1" applyNumberFormat="1" applyFont="1" applyFill="1"/>
    <xf numFmtId="0" fontId="15" fillId="19" borderId="0" xfId="0" applyFont="1" applyFill="1"/>
    <xf numFmtId="164" fontId="15" fillId="19" borderId="0" xfId="1" applyNumberFormat="1" applyFont="1" applyFill="1"/>
  </cellXfs>
  <cellStyles count="8">
    <cellStyle name="Milliers" xfId="2" builtinId="3"/>
    <cellStyle name="Monétaire" xfId="1" builtinId="4"/>
    <cellStyle name="Monétaire 2" xfId="6" xr:uid="{B319F837-8179-4B54-9032-4A8FE242BEA8}"/>
    <cellStyle name="Normal" xfId="0" builtinId="0"/>
    <cellStyle name="Normal 2" xfId="4" xr:uid="{AF515804-A066-4471-A46B-9FEE0361D5A6}"/>
    <cellStyle name="Normal 3" xfId="5" xr:uid="{22DA2562-546B-4FD6-959F-2A7BC3A134D6}"/>
    <cellStyle name="Normal 4" xfId="7" xr:uid="{C852A51D-0419-48C7-A125-1C23E6D085C8}"/>
    <cellStyle name="Pourcentage" xfId="3" builtinId="5"/>
  </cellStyles>
  <dxfs count="2"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pivotCacheDefinition" Target="pivotCache/pivotCacheDefinition2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theme" Target="theme/theme1.xml"/><Relationship Id="rId30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63500</xdr:colOff>
      <xdr:row>4</xdr:row>
      <xdr:rowOff>12700</xdr:rowOff>
    </xdr:from>
    <xdr:ext cx="152400" cy="152400"/>
    <xdr:pic>
      <xdr:nvPicPr>
        <xdr:cNvPr id="2" name="image1.png">
          <a:extLst>
            <a:ext uri="{FF2B5EF4-FFF2-40B4-BE49-F238E27FC236}">
              <a16:creationId xmlns:a16="http://schemas.microsoft.com/office/drawing/2014/main" id="{3F6951C9-CFE1-404B-BC86-C81C5A28C76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5500" y="1603375"/>
          <a:ext cx="152400" cy="152400"/>
        </a:xfrm>
        <a:prstGeom prst="rect">
          <a:avLst/>
        </a:prstGeom>
      </xdr:spPr>
    </xdr:pic>
    <xdr:clientData/>
  </xdr:oneCellAnchor>
  <xdr:oneCellAnchor>
    <xdr:from>
      <xdr:col>1</xdr:col>
      <xdr:colOff>63500</xdr:colOff>
      <xdr:row>5</xdr:row>
      <xdr:rowOff>12699</xdr:rowOff>
    </xdr:from>
    <xdr:ext cx="152400" cy="152400"/>
    <xdr:pic>
      <xdr:nvPicPr>
        <xdr:cNvPr id="3" name="image1.png">
          <a:extLst>
            <a:ext uri="{FF2B5EF4-FFF2-40B4-BE49-F238E27FC236}">
              <a16:creationId xmlns:a16="http://schemas.microsoft.com/office/drawing/2014/main" id="{90C45ABC-BF56-42D5-8BA9-50038C747DD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5500" y="1774824"/>
          <a:ext cx="152400" cy="152400"/>
        </a:xfrm>
        <a:prstGeom prst="rect">
          <a:avLst/>
        </a:prstGeom>
      </xdr:spPr>
    </xdr:pic>
    <xdr:clientData/>
  </xdr:oneCellAnchor>
  <xdr:oneCellAnchor>
    <xdr:from>
      <xdr:col>1</xdr:col>
      <xdr:colOff>63500</xdr:colOff>
      <xdr:row>6</xdr:row>
      <xdr:rowOff>12699</xdr:rowOff>
    </xdr:from>
    <xdr:ext cx="152400" cy="152400"/>
    <xdr:pic>
      <xdr:nvPicPr>
        <xdr:cNvPr id="4" name="image1.png">
          <a:extLst>
            <a:ext uri="{FF2B5EF4-FFF2-40B4-BE49-F238E27FC236}">
              <a16:creationId xmlns:a16="http://schemas.microsoft.com/office/drawing/2014/main" id="{DEED6724-7EC9-42AF-BAB3-E2C4D00FB21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5500" y="1946274"/>
          <a:ext cx="152400" cy="152400"/>
        </a:xfrm>
        <a:prstGeom prst="rect">
          <a:avLst/>
        </a:prstGeom>
      </xdr:spPr>
    </xdr:pic>
    <xdr:clientData/>
  </xdr:oneCellAnchor>
  <xdr:oneCellAnchor>
    <xdr:from>
      <xdr:col>1</xdr:col>
      <xdr:colOff>63500</xdr:colOff>
      <xdr:row>7</xdr:row>
      <xdr:rowOff>12699</xdr:rowOff>
    </xdr:from>
    <xdr:ext cx="152400" cy="152400"/>
    <xdr:pic>
      <xdr:nvPicPr>
        <xdr:cNvPr id="5" name="image1.png">
          <a:extLst>
            <a:ext uri="{FF2B5EF4-FFF2-40B4-BE49-F238E27FC236}">
              <a16:creationId xmlns:a16="http://schemas.microsoft.com/office/drawing/2014/main" id="{9F50BA5A-7C66-4EE1-8586-F07EB53F20D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5500" y="2117724"/>
          <a:ext cx="152400" cy="152400"/>
        </a:xfrm>
        <a:prstGeom prst="rect">
          <a:avLst/>
        </a:prstGeom>
      </xdr:spPr>
    </xdr:pic>
    <xdr:clientData/>
  </xdr:oneCellAnchor>
  <xdr:oneCellAnchor>
    <xdr:from>
      <xdr:col>1</xdr:col>
      <xdr:colOff>63500</xdr:colOff>
      <xdr:row>8</xdr:row>
      <xdr:rowOff>12699</xdr:rowOff>
    </xdr:from>
    <xdr:ext cx="152400" cy="152400"/>
    <xdr:pic>
      <xdr:nvPicPr>
        <xdr:cNvPr id="6" name="image1.png">
          <a:extLst>
            <a:ext uri="{FF2B5EF4-FFF2-40B4-BE49-F238E27FC236}">
              <a16:creationId xmlns:a16="http://schemas.microsoft.com/office/drawing/2014/main" id="{599189BA-1550-44B5-951E-6A60B660B25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5500" y="2289174"/>
          <a:ext cx="152400" cy="152400"/>
        </a:xfrm>
        <a:prstGeom prst="rect">
          <a:avLst/>
        </a:prstGeom>
      </xdr:spPr>
    </xdr:pic>
    <xdr:clientData/>
  </xdr:oneCellAnchor>
  <xdr:oneCellAnchor>
    <xdr:from>
      <xdr:col>1</xdr:col>
      <xdr:colOff>63500</xdr:colOff>
      <xdr:row>9</xdr:row>
      <xdr:rowOff>12699</xdr:rowOff>
    </xdr:from>
    <xdr:ext cx="152400" cy="152400"/>
    <xdr:pic>
      <xdr:nvPicPr>
        <xdr:cNvPr id="7" name="image1.png">
          <a:extLst>
            <a:ext uri="{FF2B5EF4-FFF2-40B4-BE49-F238E27FC236}">
              <a16:creationId xmlns:a16="http://schemas.microsoft.com/office/drawing/2014/main" id="{E1976365-5598-4B4A-B002-F805669979C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5500" y="2460624"/>
          <a:ext cx="152400" cy="152400"/>
        </a:xfrm>
        <a:prstGeom prst="rect">
          <a:avLst/>
        </a:prstGeom>
      </xdr:spPr>
    </xdr:pic>
    <xdr:clientData/>
  </xdr:oneCellAnchor>
  <xdr:oneCellAnchor>
    <xdr:from>
      <xdr:col>1</xdr:col>
      <xdr:colOff>63500</xdr:colOff>
      <xdr:row>10</xdr:row>
      <xdr:rowOff>12699</xdr:rowOff>
    </xdr:from>
    <xdr:ext cx="152400" cy="152400"/>
    <xdr:pic>
      <xdr:nvPicPr>
        <xdr:cNvPr id="8" name="image1.png">
          <a:extLst>
            <a:ext uri="{FF2B5EF4-FFF2-40B4-BE49-F238E27FC236}">
              <a16:creationId xmlns:a16="http://schemas.microsoft.com/office/drawing/2014/main" id="{27CF2203-5E63-400B-9C2C-1CE70389405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5500" y="2632074"/>
          <a:ext cx="152400" cy="152400"/>
        </a:xfrm>
        <a:prstGeom prst="rect">
          <a:avLst/>
        </a:prstGeom>
      </xdr:spPr>
    </xdr:pic>
    <xdr:clientData/>
  </xdr:oneCellAnchor>
  <xdr:oneCellAnchor>
    <xdr:from>
      <xdr:col>1</xdr:col>
      <xdr:colOff>63500</xdr:colOff>
      <xdr:row>11</xdr:row>
      <xdr:rowOff>12699</xdr:rowOff>
    </xdr:from>
    <xdr:ext cx="152400" cy="152400"/>
    <xdr:pic>
      <xdr:nvPicPr>
        <xdr:cNvPr id="9" name="image1.png">
          <a:extLst>
            <a:ext uri="{FF2B5EF4-FFF2-40B4-BE49-F238E27FC236}">
              <a16:creationId xmlns:a16="http://schemas.microsoft.com/office/drawing/2014/main" id="{BE777F5A-1441-456D-A5DF-9027A3E5EEA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5500" y="2803524"/>
          <a:ext cx="152400" cy="152400"/>
        </a:xfrm>
        <a:prstGeom prst="rect">
          <a:avLst/>
        </a:prstGeom>
      </xdr:spPr>
    </xdr:pic>
    <xdr:clientData/>
  </xdr:oneCellAnchor>
  <xdr:oneCellAnchor>
    <xdr:from>
      <xdr:col>1</xdr:col>
      <xdr:colOff>63500</xdr:colOff>
      <xdr:row>12</xdr:row>
      <xdr:rowOff>12699</xdr:rowOff>
    </xdr:from>
    <xdr:ext cx="152400" cy="152400"/>
    <xdr:pic>
      <xdr:nvPicPr>
        <xdr:cNvPr id="10" name="image1.png">
          <a:extLst>
            <a:ext uri="{FF2B5EF4-FFF2-40B4-BE49-F238E27FC236}">
              <a16:creationId xmlns:a16="http://schemas.microsoft.com/office/drawing/2014/main" id="{112E04D3-D1C9-4AE5-AE4E-625A36662DD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5500" y="2974974"/>
          <a:ext cx="152400" cy="152400"/>
        </a:xfrm>
        <a:prstGeom prst="rect">
          <a:avLst/>
        </a:prstGeom>
      </xdr:spPr>
    </xdr:pic>
    <xdr:clientData/>
  </xdr:oneCellAnchor>
  <xdr:oneCellAnchor>
    <xdr:from>
      <xdr:col>1</xdr:col>
      <xdr:colOff>63500</xdr:colOff>
      <xdr:row>13</xdr:row>
      <xdr:rowOff>12699</xdr:rowOff>
    </xdr:from>
    <xdr:ext cx="152400" cy="152400"/>
    <xdr:pic>
      <xdr:nvPicPr>
        <xdr:cNvPr id="11" name="image1.png">
          <a:extLst>
            <a:ext uri="{FF2B5EF4-FFF2-40B4-BE49-F238E27FC236}">
              <a16:creationId xmlns:a16="http://schemas.microsoft.com/office/drawing/2014/main" id="{0A52868B-60FF-4DC4-8D8F-334810E9F08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5500" y="3146424"/>
          <a:ext cx="152400" cy="152400"/>
        </a:xfrm>
        <a:prstGeom prst="rect">
          <a:avLst/>
        </a:prstGeom>
      </xdr:spPr>
    </xdr:pic>
    <xdr:clientData/>
  </xdr:oneCellAnchor>
  <xdr:oneCellAnchor>
    <xdr:from>
      <xdr:col>1</xdr:col>
      <xdr:colOff>63500</xdr:colOff>
      <xdr:row>14</xdr:row>
      <xdr:rowOff>12699</xdr:rowOff>
    </xdr:from>
    <xdr:ext cx="152400" cy="152400"/>
    <xdr:pic>
      <xdr:nvPicPr>
        <xdr:cNvPr id="12" name="image1.png">
          <a:extLst>
            <a:ext uri="{FF2B5EF4-FFF2-40B4-BE49-F238E27FC236}">
              <a16:creationId xmlns:a16="http://schemas.microsoft.com/office/drawing/2014/main" id="{6844CFE9-8246-4C59-9126-267105BBB1D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5500" y="3317874"/>
          <a:ext cx="152400" cy="152400"/>
        </a:xfrm>
        <a:prstGeom prst="rect">
          <a:avLst/>
        </a:prstGeom>
      </xdr:spPr>
    </xdr:pic>
    <xdr:clientData/>
  </xdr:oneCellAnchor>
  <xdr:oneCellAnchor>
    <xdr:from>
      <xdr:col>1</xdr:col>
      <xdr:colOff>63500</xdr:colOff>
      <xdr:row>15</xdr:row>
      <xdr:rowOff>12699</xdr:rowOff>
    </xdr:from>
    <xdr:ext cx="152400" cy="152400"/>
    <xdr:pic>
      <xdr:nvPicPr>
        <xdr:cNvPr id="13" name="image1.png">
          <a:extLst>
            <a:ext uri="{FF2B5EF4-FFF2-40B4-BE49-F238E27FC236}">
              <a16:creationId xmlns:a16="http://schemas.microsoft.com/office/drawing/2014/main" id="{656078F8-8311-4F11-9AB2-737721CD296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5500" y="3489324"/>
          <a:ext cx="152400" cy="152400"/>
        </a:xfrm>
        <a:prstGeom prst="rect">
          <a:avLst/>
        </a:prstGeom>
      </xdr:spPr>
    </xdr:pic>
    <xdr:clientData/>
  </xdr:oneCellAnchor>
  <xdr:oneCellAnchor>
    <xdr:from>
      <xdr:col>1</xdr:col>
      <xdr:colOff>63500</xdr:colOff>
      <xdr:row>16</xdr:row>
      <xdr:rowOff>12699</xdr:rowOff>
    </xdr:from>
    <xdr:ext cx="152400" cy="152400"/>
    <xdr:pic>
      <xdr:nvPicPr>
        <xdr:cNvPr id="14" name="image1.png">
          <a:extLst>
            <a:ext uri="{FF2B5EF4-FFF2-40B4-BE49-F238E27FC236}">
              <a16:creationId xmlns:a16="http://schemas.microsoft.com/office/drawing/2014/main" id="{20B08765-AE75-4028-B445-42077C33DD6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5500" y="3660774"/>
          <a:ext cx="152400" cy="152400"/>
        </a:xfrm>
        <a:prstGeom prst="rect">
          <a:avLst/>
        </a:prstGeom>
      </xdr:spPr>
    </xdr:pic>
    <xdr:clientData/>
  </xdr:oneCellAnchor>
  <xdr:oneCellAnchor>
    <xdr:from>
      <xdr:col>1</xdr:col>
      <xdr:colOff>63500</xdr:colOff>
      <xdr:row>17</xdr:row>
      <xdr:rowOff>12699</xdr:rowOff>
    </xdr:from>
    <xdr:ext cx="152400" cy="152400"/>
    <xdr:pic>
      <xdr:nvPicPr>
        <xdr:cNvPr id="15" name="image1.png">
          <a:extLst>
            <a:ext uri="{FF2B5EF4-FFF2-40B4-BE49-F238E27FC236}">
              <a16:creationId xmlns:a16="http://schemas.microsoft.com/office/drawing/2014/main" id="{E7FA00A5-1DBB-4664-B88A-AD21E74F574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5500" y="3832224"/>
          <a:ext cx="152400" cy="152400"/>
        </a:xfrm>
        <a:prstGeom prst="rect">
          <a:avLst/>
        </a:prstGeom>
      </xdr:spPr>
    </xdr:pic>
    <xdr:clientData/>
  </xdr:oneCellAnchor>
  <xdr:oneCellAnchor>
    <xdr:from>
      <xdr:col>1</xdr:col>
      <xdr:colOff>63500</xdr:colOff>
      <xdr:row>18</xdr:row>
      <xdr:rowOff>12699</xdr:rowOff>
    </xdr:from>
    <xdr:ext cx="152400" cy="152400"/>
    <xdr:pic>
      <xdr:nvPicPr>
        <xdr:cNvPr id="16" name="image1.png">
          <a:extLst>
            <a:ext uri="{FF2B5EF4-FFF2-40B4-BE49-F238E27FC236}">
              <a16:creationId xmlns:a16="http://schemas.microsoft.com/office/drawing/2014/main" id="{E3DC1E77-5D73-49F6-AF82-CAFF08346CB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5500" y="4003674"/>
          <a:ext cx="152400" cy="152400"/>
        </a:xfrm>
        <a:prstGeom prst="rect">
          <a:avLst/>
        </a:prstGeom>
      </xdr:spPr>
    </xdr:pic>
    <xdr:clientData/>
  </xdr:oneCellAnchor>
  <xdr:oneCellAnchor>
    <xdr:from>
      <xdr:col>1</xdr:col>
      <xdr:colOff>63500</xdr:colOff>
      <xdr:row>19</xdr:row>
      <xdr:rowOff>12699</xdr:rowOff>
    </xdr:from>
    <xdr:ext cx="152400" cy="152400"/>
    <xdr:pic>
      <xdr:nvPicPr>
        <xdr:cNvPr id="17" name="image1.png">
          <a:extLst>
            <a:ext uri="{FF2B5EF4-FFF2-40B4-BE49-F238E27FC236}">
              <a16:creationId xmlns:a16="http://schemas.microsoft.com/office/drawing/2014/main" id="{65C3CB0D-B88B-46E9-8290-C172B708BD2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5500" y="4175124"/>
          <a:ext cx="152400" cy="152400"/>
        </a:xfrm>
        <a:prstGeom prst="rect">
          <a:avLst/>
        </a:prstGeom>
      </xdr:spPr>
    </xdr:pic>
    <xdr:clientData/>
  </xdr:oneCellAnchor>
  <xdr:oneCellAnchor>
    <xdr:from>
      <xdr:col>1</xdr:col>
      <xdr:colOff>63500</xdr:colOff>
      <xdr:row>20</xdr:row>
      <xdr:rowOff>12699</xdr:rowOff>
    </xdr:from>
    <xdr:ext cx="152400" cy="152400"/>
    <xdr:pic>
      <xdr:nvPicPr>
        <xdr:cNvPr id="18" name="image1.png">
          <a:extLst>
            <a:ext uri="{FF2B5EF4-FFF2-40B4-BE49-F238E27FC236}">
              <a16:creationId xmlns:a16="http://schemas.microsoft.com/office/drawing/2014/main" id="{5D7B77F9-F639-4050-B2A2-1E9C8BA8E07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5500" y="4346574"/>
          <a:ext cx="152400" cy="152400"/>
        </a:xfrm>
        <a:prstGeom prst="rect">
          <a:avLst/>
        </a:prstGeom>
      </xdr:spPr>
    </xdr:pic>
    <xdr:clientData/>
  </xdr:oneCellAnchor>
  <xdr:oneCellAnchor>
    <xdr:from>
      <xdr:col>1</xdr:col>
      <xdr:colOff>63500</xdr:colOff>
      <xdr:row>21</xdr:row>
      <xdr:rowOff>12699</xdr:rowOff>
    </xdr:from>
    <xdr:ext cx="152400" cy="152400"/>
    <xdr:pic>
      <xdr:nvPicPr>
        <xdr:cNvPr id="19" name="image1.png">
          <a:extLst>
            <a:ext uri="{FF2B5EF4-FFF2-40B4-BE49-F238E27FC236}">
              <a16:creationId xmlns:a16="http://schemas.microsoft.com/office/drawing/2014/main" id="{2D463A5A-DF84-4906-A0A6-0B1BF0552A6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5500" y="4518024"/>
          <a:ext cx="152400" cy="152400"/>
        </a:xfrm>
        <a:prstGeom prst="rect">
          <a:avLst/>
        </a:prstGeom>
      </xdr:spPr>
    </xdr:pic>
    <xdr:clientData/>
  </xdr:oneCellAnchor>
  <xdr:oneCellAnchor>
    <xdr:from>
      <xdr:col>1</xdr:col>
      <xdr:colOff>63500</xdr:colOff>
      <xdr:row>22</xdr:row>
      <xdr:rowOff>12699</xdr:rowOff>
    </xdr:from>
    <xdr:ext cx="152400" cy="152400"/>
    <xdr:pic>
      <xdr:nvPicPr>
        <xdr:cNvPr id="20" name="image1.png">
          <a:extLst>
            <a:ext uri="{FF2B5EF4-FFF2-40B4-BE49-F238E27FC236}">
              <a16:creationId xmlns:a16="http://schemas.microsoft.com/office/drawing/2014/main" id="{1B184811-90D7-48D8-99B0-3B8883AE383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5500" y="4689474"/>
          <a:ext cx="152400" cy="152400"/>
        </a:xfrm>
        <a:prstGeom prst="rect">
          <a:avLst/>
        </a:prstGeom>
      </xdr:spPr>
    </xdr:pic>
    <xdr:clientData/>
  </xdr:oneCellAnchor>
  <xdr:oneCellAnchor>
    <xdr:from>
      <xdr:col>1</xdr:col>
      <xdr:colOff>63500</xdr:colOff>
      <xdr:row>23</xdr:row>
      <xdr:rowOff>12699</xdr:rowOff>
    </xdr:from>
    <xdr:ext cx="152400" cy="152400"/>
    <xdr:pic>
      <xdr:nvPicPr>
        <xdr:cNvPr id="21" name="image1.png">
          <a:extLst>
            <a:ext uri="{FF2B5EF4-FFF2-40B4-BE49-F238E27FC236}">
              <a16:creationId xmlns:a16="http://schemas.microsoft.com/office/drawing/2014/main" id="{971FFD1C-A6C1-4D3A-8DB2-12782F6BA95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5500" y="4860924"/>
          <a:ext cx="152400" cy="152400"/>
        </a:xfrm>
        <a:prstGeom prst="rect">
          <a:avLst/>
        </a:prstGeom>
      </xdr:spPr>
    </xdr:pic>
    <xdr:clientData/>
  </xdr:oneCellAnchor>
  <xdr:oneCellAnchor>
    <xdr:from>
      <xdr:col>1</xdr:col>
      <xdr:colOff>63500</xdr:colOff>
      <xdr:row>24</xdr:row>
      <xdr:rowOff>12699</xdr:rowOff>
    </xdr:from>
    <xdr:ext cx="152400" cy="152400"/>
    <xdr:pic>
      <xdr:nvPicPr>
        <xdr:cNvPr id="22" name="image1.png">
          <a:extLst>
            <a:ext uri="{FF2B5EF4-FFF2-40B4-BE49-F238E27FC236}">
              <a16:creationId xmlns:a16="http://schemas.microsoft.com/office/drawing/2014/main" id="{BBA64FE3-285E-4BAA-8E90-C39D10311C5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5500" y="5032374"/>
          <a:ext cx="152400" cy="152400"/>
        </a:xfrm>
        <a:prstGeom prst="rect">
          <a:avLst/>
        </a:prstGeom>
      </xdr:spPr>
    </xdr:pic>
    <xdr:clientData/>
  </xdr:oneCellAnchor>
  <xdr:oneCellAnchor>
    <xdr:from>
      <xdr:col>1</xdr:col>
      <xdr:colOff>63500</xdr:colOff>
      <xdr:row>25</xdr:row>
      <xdr:rowOff>12699</xdr:rowOff>
    </xdr:from>
    <xdr:ext cx="152400" cy="152400"/>
    <xdr:pic>
      <xdr:nvPicPr>
        <xdr:cNvPr id="23" name="image1.png">
          <a:extLst>
            <a:ext uri="{FF2B5EF4-FFF2-40B4-BE49-F238E27FC236}">
              <a16:creationId xmlns:a16="http://schemas.microsoft.com/office/drawing/2014/main" id="{7D0435D5-D16C-4783-998E-A248E52CF66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5500" y="5203824"/>
          <a:ext cx="152400" cy="152400"/>
        </a:xfrm>
        <a:prstGeom prst="rect">
          <a:avLst/>
        </a:prstGeom>
      </xdr:spPr>
    </xdr:pic>
    <xdr:clientData/>
  </xdr:oneCellAnchor>
  <xdr:oneCellAnchor>
    <xdr:from>
      <xdr:col>1</xdr:col>
      <xdr:colOff>63500</xdr:colOff>
      <xdr:row>26</xdr:row>
      <xdr:rowOff>12699</xdr:rowOff>
    </xdr:from>
    <xdr:ext cx="152400" cy="152400"/>
    <xdr:pic>
      <xdr:nvPicPr>
        <xdr:cNvPr id="24" name="image1.png">
          <a:extLst>
            <a:ext uri="{FF2B5EF4-FFF2-40B4-BE49-F238E27FC236}">
              <a16:creationId xmlns:a16="http://schemas.microsoft.com/office/drawing/2014/main" id="{2E3A6D5A-109A-4C76-94C8-7A86EA5281B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5500" y="5375274"/>
          <a:ext cx="152400" cy="152400"/>
        </a:xfrm>
        <a:prstGeom prst="rect">
          <a:avLst/>
        </a:prstGeom>
      </xdr:spPr>
    </xdr:pic>
    <xdr:clientData/>
  </xdr:oneCellAnchor>
  <xdr:oneCellAnchor>
    <xdr:from>
      <xdr:col>1</xdr:col>
      <xdr:colOff>63500</xdr:colOff>
      <xdr:row>27</xdr:row>
      <xdr:rowOff>12699</xdr:rowOff>
    </xdr:from>
    <xdr:ext cx="152400" cy="152400"/>
    <xdr:pic>
      <xdr:nvPicPr>
        <xdr:cNvPr id="25" name="image1.png">
          <a:extLst>
            <a:ext uri="{FF2B5EF4-FFF2-40B4-BE49-F238E27FC236}">
              <a16:creationId xmlns:a16="http://schemas.microsoft.com/office/drawing/2014/main" id="{67567BE2-5FAF-41E5-8DF5-266A110F679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5500" y="5546724"/>
          <a:ext cx="152400" cy="152400"/>
        </a:xfrm>
        <a:prstGeom prst="rect">
          <a:avLst/>
        </a:prstGeom>
      </xdr:spPr>
    </xdr:pic>
    <xdr:clientData/>
  </xdr:oneCellAnchor>
  <xdr:oneCellAnchor>
    <xdr:from>
      <xdr:col>1</xdr:col>
      <xdr:colOff>63500</xdr:colOff>
      <xdr:row>28</xdr:row>
      <xdr:rowOff>12699</xdr:rowOff>
    </xdr:from>
    <xdr:ext cx="152400" cy="152400"/>
    <xdr:pic>
      <xdr:nvPicPr>
        <xdr:cNvPr id="26" name="image1.png">
          <a:extLst>
            <a:ext uri="{FF2B5EF4-FFF2-40B4-BE49-F238E27FC236}">
              <a16:creationId xmlns:a16="http://schemas.microsoft.com/office/drawing/2014/main" id="{FAF8535E-9F66-4510-A13C-0B2805E1811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5500" y="5718174"/>
          <a:ext cx="152400" cy="152400"/>
        </a:xfrm>
        <a:prstGeom prst="rect">
          <a:avLst/>
        </a:prstGeom>
      </xdr:spPr>
    </xdr:pic>
    <xdr:clientData/>
  </xdr:oneCellAnchor>
  <xdr:oneCellAnchor>
    <xdr:from>
      <xdr:col>1</xdr:col>
      <xdr:colOff>63500</xdr:colOff>
      <xdr:row>29</xdr:row>
      <xdr:rowOff>12699</xdr:rowOff>
    </xdr:from>
    <xdr:ext cx="152400" cy="152400"/>
    <xdr:pic>
      <xdr:nvPicPr>
        <xdr:cNvPr id="27" name="image1.png">
          <a:extLst>
            <a:ext uri="{FF2B5EF4-FFF2-40B4-BE49-F238E27FC236}">
              <a16:creationId xmlns:a16="http://schemas.microsoft.com/office/drawing/2014/main" id="{BF3744D8-EB73-4682-954B-54B522FEDDD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5500" y="5889624"/>
          <a:ext cx="152400" cy="152400"/>
        </a:xfrm>
        <a:prstGeom prst="rect">
          <a:avLst/>
        </a:prstGeom>
      </xdr:spPr>
    </xdr:pic>
    <xdr:clientData/>
  </xdr:oneCellAnchor>
  <xdr:oneCellAnchor>
    <xdr:from>
      <xdr:col>1</xdr:col>
      <xdr:colOff>63500</xdr:colOff>
      <xdr:row>30</xdr:row>
      <xdr:rowOff>12699</xdr:rowOff>
    </xdr:from>
    <xdr:ext cx="152400" cy="152400"/>
    <xdr:pic>
      <xdr:nvPicPr>
        <xdr:cNvPr id="28" name="image1.png">
          <a:extLst>
            <a:ext uri="{FF2B5EF4-FFF2-40B4-BE49-F238E27FC236}">
              <a16:creationId xmlns:a16="http://schemas.microsoft.com/office/drawing/2014/main" id="{8BD38DDD-8030-4DF1-B925-D1D14C2B675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5500" y="6061074"/>
          <a:ext cx="152400" cy="152400"/>
        </a:xfrm>
        <a:prstGeom prst="rect">
          <a:avLst/>
        </a:prstGeom>
      </xdr:spPr>
    </xdr:pic>
    <xdr:clientData/>
  </xdr:oneCellAnchor>
  <xdr:oneCellAnchor>
    <xdr:from>
      <xdr:col>1</xdr:col>
      <xdr:colOff>63500</xdr:colOff>
      <xdr:row>31</xdr:row>
      <xdr:rowOff>12699</xdr:rowOff>
    </xdr:from>
    <xdr:ext cx="152400" cy="152400"/>
    <xdr:pic>
      <xdr:nvPicPr>
        <xdr:cNvPr id="29" name="image1.png">
          <a:extLst>
            <a:ext uri="{FF2B5EF4-FFF2-40B4-BE49-F238E27FC236}">
              <a16:creationId xmlns:a16="http://schemas.microsoft.com/office/drawing/2014/main" id="{D5A137EC-69D3-46D6-8150-4E4721CAF2B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5500" y="6232524"/>
          <a:ext cx="152400" cy="152400"/>
        </a:xfrm>
        <a:prstGeom prst="rect">
          <a:avLst/>
        </a:prstGeom>
      </xdr:spPr>
    </xdr:pic>
    <xdr:clientData/>
  </xdr:oneCellAnchor>
  <xdr:oneCellAnchor>
    <xdr:from>
      <xdr:col>1</xdr:col>
      <xdr:colOff>63500</xdr:colOff>
      <xdr:row>32</xdr:row>
      <xdr:rowOff>12700</xdr:rowOff>
    </xdr:from>
    <xdr:ext cx="152400" cy="152400"/>
    <xdr:pic>
      <xdr:nvPicPr>
        <xdr:cNvPr id="30" name="image1.png">
          <a:extLst>
            <a:ext uri="{FF2B5EF4-FFF2-40B4-BE49-F238E27FC236}">
              <a16:creationId xmlns:a16="http://schemas.microsoft.com/office/drawing/2014/main" id="{FAFA1522-BC0B-49D7-A650-BD2B1044E13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5500" y="6403975"/>
          <a:ext cx="152400" cy="152400"/>
        </a:xfrm>
        <a:prstGeom prst="rect">
          <a:avLst/>
        </a:prstGeom>
      </xdr:spPr>
    </xdr:pic>
    <xdr:clientData/>
  </xdr:oneCellAnchor>
  <xdr:oneCellAnchor>
    <xdr:from>
      <xdr:col>1</xdr:col>
      <xdr:colOff>63500</xdr:colOff>
      <xdr:row>33</xdr:row>
      <xdr:rowOff>12700</xdr:rowOff>
    </xdr:from>
    <xdr:ext cx="152400" cy="152400"/>
    <xdr:pic>
      <xdr:nvPicPr>
        <xdr:cNvPr id="31" name="image1.png">
          <a:extLst>
            <a:ext uri="{FF2B5EF4-FFF2-40B4-BE49-F238E27FC236}">
              <a16:creationId xmlns:a16="http://schemas.microsoft.com/office/drawing/2014/main" id="{9D2D0E0A-AF49-4268-BB18-6B8E5F1EB2E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5500" y="6575425"/>
          <a:ext cx="152400" cy="152400"/>
        </a:xfrm>
        <a:prstGeom prst="rect">
          <a:avLst/>
        </a:prstGeom>
      </xdr:spPr>
    </xdr:pic>
    <xdr:clientData/>
  </xdr:oneCellAnchor>
  <xdr:oneCellAnchor>
    <xdr:from>
      <xdr:col>1</xdr:col>
      <xdr:colOff>63500</xdr:colOff>
      <xdr:row>34</xdr:row>
      <xdr:rowOff>12700</xdr:rowOff>
    </xdr:from>
    <xdr:ext cx="152400" cy="152400"/>
    <xdr:pic>
      <xdr:nvPicPr>
        <xdr:cNvPr id="32" name="image1.png">
          <a:extLst>
            <a:ext uri="{FF2B5EF4-FFF2-40B4-BE49-F238E27FC236}">
              <a16:creationId xmlns:a16="http://schemas.microsoft.com/office/drawing/2014/main" id="{D1248FAB-05F5-4CB1-8A2A-200B961B6C9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5500" y="6746875"/>
          <a:ext cx="152400" cy="152400"/>
        </a:xfrm>
        <a:prstGeom prst="rect">
          <a:avLst/>
        </a:prstGeom>
      </xdr:spPr>
    </xdr:pic>
    <xdr:clientData/>
  </xdr:oneCellAnchor>
  <xdr:oneCellAnchor>
    <xdr:from>
      <xdr:col>1</xdr:col>
      <xdr:colOff>63500</xdr:colOff>
      <xdr:row>35</xdr:row>
      <xdr:rowOff>12700</xdr:rowOff>
    </xdr:from>
    <xdr:ext cx="152400" cy="152400"/>
    <xdr:pic>
      <xdr:nvPicPr>
        <xdr:cNvPr id="33" name="image1.png">
          <a:extLst>
            <a:ext uri="{FF2B5EF4-FFF2-40B4-BE49-F238E27FC236}">
              <a16:creationId xmlns:a16="http://schemas.microsoft.com/office/drawing/2014/main" id="{78133410-428D-4A76-AC9B-4C9724E8BFA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5500" y="6918325"/>
          <a:ext cx="152400" cy="152400"/>
        </a:xfrm>
        <a:prstGeom prst="rect">
          <a:avLst/>
        </a:prstGeom>
      </xdr:spPr>
    </xdr:pic>
    <xdr:clientData/>
  </xdr:oneCellAnchor>
  <xdr:oneCellAnchor>
    <xdr:from>
      <xdr:col>1</xdr:col>
      <xdr:colOff>63500</xdr:colOff>
      <xdr:row>36</xdr:row>
      <xdr:rowOff>12700</xdr:rowOff>
    </xdr:from>
    <xdr:ext cx="152400" cy="152400"/>
    <xdr:pic>
      <xdr:nvPicPr>
        <xdr:cNvPr id="34" name="image1.png">
          <a:extLst>
            <a:ext uri="{FF2B5EF4-FFF2-40B4-BE49-F238E27FC236}">
              <a16:creationId xmlns:a16="http://schemas.microsoft.com/office/drawing/2014/main" id="{B2D1AE1C-5655-4AFA-B3D7-8364ABD342B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5500" y="7089775"/>
          <a:ext cx="152400" cy="152400"/>
        </a:xfrm>
        <a:prstGeom prst="rect">
          <a:avLst/>
        </a:prstGeom>
      </xdr:spPr>
    </xdr:pic>
    <xdr:clientData/>
  </xdr:oneCellAnchor>
  <xdr:oneCellAnchor>
    <xdr:from>
      <xdr:col>1</xdr:col>
      <xdr:colOff>63500</xdr:colOff>
      <xdr:row>37</xdr:row>
      <xdr:rowOff>12700</xdr:rowOff>
    </xdr:from>
    <xdr:ext cx="152400" cy="152400"/>
    <xdr:pic>
      <xdr:nvPicPr>
        <xdr:cNvPr id="35" name="image1.png">
          <a:extLst>
            <a:ext uri="{FF2B5EF4-FFF2-40B4-BE49-F238E27FC236}">
              <a16:creationId xmlns:a16="http://schemas.microsoft.com/office/drawing/2014/main" id="{D9BE756B-FA4E-4520-9319-2F22523134F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5500" y="7261225"/>
          <a:ext cx="152400" cy="152400"/>
        </a:xfrm>
        <a:prstGeom prst="rect">
          <a:avLst/>
        </a:prstGeom>
      </xdr:spPr>
    </xdr:pic>
    <xdr:clientData/>
  </xdr:oneCellAnchor>
  <xdr:oneCellAnchor>
    <xdr:from>
      <xdr:col>1</xdr:col>
      <xdr:colOff>63500</xdr:colOff>
      <xdr:row>38</xdr:row>
      <xdr:rowOff>12700</xdr:rowOff>
    </xdr:from>
    <xdr:ext cx="152400" cy="152400"/>
    <xdr:pic>
      <xdr:nvPicPr>
        <xdr:cNvPr id="36" name="image1.png">
          <a:extLst>
            <a:ext uri="{FF2B5EF4-FFF2-40B4-BE49-F238E27FC236}">
              <a16:creationId xmlns:a16="http://schemas.microsoft.com/office/drawing/2014/main" id="{490E9522-08FE-46F5-BE20-EBF30B2E2B8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5500" y="7432675"/>
          <a:ext cx="152400" cy="152400"/>
        </a:xfrm>
        <a:prstGeom prst="rect">
          <a:avLst/>
        </a:prstGeom>
      </xdr:spPr>
    </xdr:pic>
    <xdr:clientData/>
  </xdr:oneCellAnchor>
  <xdr:oneCellAnchor>
    <xdr:from>
      <xdr:col>1</xdr:col>
      <xdr:colOff>63500</xdr:colOff>
      <xdr:row>39</xdr:row>
      <xdr:rowOff>12700</xdr:rowOff>
    </xdr:from>
    <xdr:ext cx="152400" cy="152400"/>
    <xdr:pic>
      <xdr:nvPicPr>
        <xdr:cNvPr id="37" name="image1.png">
          <a:extLst>
            <a:ext uri="{FF2B5EF4-FFF2-40B4-BE49-F238E27FC236}">
              <a16:creationId xmlns:a16="http://schemas.microsoft.com/office/drawing/2014/main" id="{49FF57F4-1EF4-4722-9AEB-E02BD314C1A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5500" y="7604125"/>
          <a:ext cx="152400" cy="152400"/>
        </a:xfrm>
        <a:prstGeom prst="rect">
          <a:avLst/>
        </a:prstGeom>
      </xdr:spPr>
    </xdr:pic>
    <xdr:clientData/>
  </xdr:oneCellAnchor>
  <xdr:oneCellAnchor>
    <xdr:from>
      <xdr:col>1</xdr:col>
      <xdr:colOff>63500</xdr:colOff>
      <xdr:row>40</xdr:row>
      <xdr:rowOff>12700</xdr:rowOff>
    </xdr:from>
    <xdr:ext cx="152400" cy="152400"/>
    <xdr:pic>
      <xdr:nvPicPr>
        <xdr:cNvPr id="38" name="image1.png">
          <a:extLst>
            <a:ext uri="{FF2B5EF4-FFF2-40B4-BE49-F238E27FC236}">
              <a16:creationId xmlns:a16="http://schemas.microsoft.com/office/drawing/2014/main" id="{E153A5D0-7556-4ECA-8202-D8380BCCF0B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5500" y="7775575"/>
          <a:ext cx="152400" cy="152400"/>
        </a:xfrm>
        <a:prstGeom prst="rect">
          <a:avLst/>
        </a:prstGeom>
      </xdr:spPr>
    </xdr:pic>
    <xdr:clientData/>
  </xdr:oneCellAnchor>
  <xdr:oneCellAnchor>
    <xdr:from>
      <xdr:col>1</xdr:col>
      <xdr:colOff>63500</xdr:colOff>
      <xdr:row>41</xdr:row>
      <xdr:rowOff>12700</xdr:rowOff>
    </xdr:from>
    <xdr:ext cx="152400" cy="152400"/>
    <xdr:pic>
      <xdr:nvPicPr>
        <xdr:cNvPr id="39" name="image1.png">
          <a:extLst>
            <a:ext uri="{FF2B5EF4-FFF2-40B4-BE49-F238E27FC236}">
              <a16:creationId xmlns:a16="http://schemas.microsoft.com/office/drawing/2014/main" id="{3D82050C-8F9A-4DAB-9BDF-7ADA727BAD1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5500" y="7947025"/>
          <a:ext cx="152400" cy="152400"/>
        </a:xfrm>
        <a:prstGeom prst="rect">
          <a:avLst/>
        </a:prstGeom>
      </xdr:spPr>
    </xdr:pic>
    <xdr:clientData/>
  </xdr:oneCellAnchor>
  <xdr:oneCellAnchor>
    <xdr:from>
      <xdr:col>1</xdr:col>
      <xdr:colOff>63500</xdr:colOff>
      <xdr:row>42</xdr:row>
      <xdr:rowOff>12700</xdr:rowOff>
    </xdr:from>
    <xdr:ext cx="152400" cy="152400"/>
    <xdr:pic>
      <xdr:nvPicPr>
        <xdr:cNvPr id="40" name="image1.png">
          <a:extLst>
            <a:ext uri="{FF2B5EF4-FFF2-40B4-BE49-F238E27FC236}">
              <a16:creationId xmlns:a16="http://schemas.microsoft.com/office/drawing/2014/main" id="{E31E6B09-75D4-42B7-9DBE-2F5AB105F05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5500" y="8118475"/>
          <a:ext cx="152400" cy="152400"/>
        </a:xfrm>
        <a:prstGeom prst="rect">
          <a:avLst/>
        </a:prstGeom>
      </xdr:spPr>
    </xdr:pic>
    <xdr:clientData/>
  </xdr:oneCellAnchor>
  <xdr:oneCellAnchor>
    <xdr:from>
      <xdr:col>1</xdr:col>
      <xdr:colOff>63500</xdr:colOff>
      <xdr:row>43</xdr:row>
      <xdr:rowOff>12700</xdr:rowOff>
    </xdr:from>
    <xdr:ext cx="152400" cy="152400"/>
    <xdr:pic>
      <xdr:nvPicPr>
        <xdr:cNvPr id="41" name="image1.png">
          <a:extLst>
            <a:ext uri="{FF2B5EF4-FFF2-40B4-BE49-F238E27FC236}">
              <a16:creationId xmlns:a16="http://schemas.microsoft.com/office/drawing/2014/main" id="{EAEFB4A1-49B2-4A1F-A7A0-069002A4EB1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5500" y="8289925"/>
          <a:ext cx="152400" cy="152400"/>
        </a:xfrm>
        <a:prstGeom prst="rect">
          <a:avLst/>
        </a:prstGeom>
      </xdr:spPr>
    </xdr:pic>
    <xdr:clientData/>
  </xdr:oneCellAnchor>
  <xdr:oneCellAnchor>
    <xdr:from>
      <xdr:col>1</xdr:col>
      <xdr:colOff>63500</xdr:colOff>
      <xdr:row>44</xdr:row>
      <xdr:rowOff>12700</xdr:rowOff>
    </xdr:from>
    <xdr:ext cx="152400" cy="152400"/>
    <xdr:pic>
      <xdr:nvPicPr>
        <xdr:cNvPr id="42" name="image1.png">
          <a:extLst>
            <a:ext uri="{FF2B5EF4-FFF2-40B4-BE49-F238E27FC236}">
              <a16:creationId xmlns:a16="http://schemas.microsoft.com/office/drawing/2014/main" id="{8B64543E-D8A0-4797-BFC5-52B7C563652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5500" y="8461375"/>
          <a:ext cx="152400" cy="152400"/>
        </a:xfrm>
        <a:prstGeom prst="rect">
          <a:avLst/>
        </a:prstGeom>
      </xdr:spPr>
    </xdr:pic>
    <xdr:clientData/>
  </xdr:oneCellAnchor>
  <xdr:oneCellAnchor>
    <xdr:from>
      <xdr:col>1</xdr:col>
      <xdr:colOff>63500</xdr:colOff>
      <xdr:row>45</xdr:row>
      <xdr:rowOff>12700</xdr:rowOff>
    </xdr:from>
    <xdr:ext cx="152400" cy="152400"/>
    <xdr:pic>
      <xdr:nvPicPr>
        <xdr:cNvPr id="43" name="image1.png">
          <a:extLst>
            <a:ext uri="{FF2B5EF4-FFF2-40B4-BE49-F238E27FC236}">
              <a16:creationId xmlns:a16="http://schemas.microsoft.com/office/drawing/2014/main" id="{3A9FC0E5-8F8C-4512-99AC-4B1B42BB82B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5500" y="8632825"/>
          <a:ext cx="152400" cy="152400"/>
        </a:xfrm>
        <a:prstGeom prst="rect">
          <a:avLst/>
        </a:prstGeom>
      </xdr:spPr>
    </xdr:pic>
    <xdr:clientData/>
  </xdr:oneCellAnchor>
  <xdr:oneCellAnchor>
    <xdr:from>
      <xdr:col>1</xdr:col>
      <xdr:colOff>63500</xdr:colOff>
      <xdr:row>46</xdr:row>
      <xdr:rowOff>12700</xdr:rowOff>
    </xdr:from>
    <xdr:ext cx="152400" cy="152400"/>
    <xdr:pic>
      <xdr:nvPicPr>
        <xdr:cNvPr id="44" name="image1.png">
          <a:extLst>
            <a:ext uri="{FF2B5EF4-FFF2-40B4-BE49-F238E27FC236}">
              <a16:creationId xmlns:a16="http://schemas.microsoft.com/office/drawing/2014/main" id="{CD0A586F-F899-433F-BD3E-BC2876A1917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5500" y="8804275"/>
          <a:ext cx="152400" cy="152400"/>
        </a:xfrm>
        <a:prstGeom prst="rect">
          <a:avLst/>
        </a:prstGeom>
      </xdr:spPr>
    </xdr:pic>
    <xdr:clientData/>
  </xdr:oneCellAnchor>
  <xdr:oneCellAnchor>
    <xdr:from>
      <xdr:col>1</xdr:col>
      <xdr:colOff>63500</xdr:colOff>
      <xdr:row>47</xdr:row>
      <xdr:rowOff>12700</xdr:rowOff>
    </xdr:from>
    <xdr:ext cx="152400" cy="152400"/>
    <xdr:pic>
      <xdr:nvPicPr>
        <xdr:cNvPr id="45" name="image1.png">
          <a:extLst>
            <a:ext uri="{FF2B5EF4-FFF2-40B4-BE49-F238E27FC236}">
              <a16:creationId xmlns:a16="http://schemas.microsoft.com/office/drawing/2014/main" id="{366342C9-DF05-4ACE-930B-C7A83BFE4A5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5500" y="8975725"/>
          <a:ext cx="152400" cy="152400"/>
        </a:xfrm>
        <a:prstGeom prst="rect">
          <a:avLst/>
        </a:prstGeom>
      </xdr:spPr>
    </xdr:pic>
    <xdr:clientData/>
  </xdr:oneCellAnchor>
  <xdr:oneCellAnchor>
    <xdr:from>
      <xdr:col>1</xdr:col>
      <xdr:colOff>63500</xdr:colOff>
      <xdr:row>48</xdr:row>
      <xdr:rowOff>12700</xdr:rowOff>
    </xdr:from>
    <xdr:ext cx="152400" cy="152400"/>
    <xdr:pic>
      <xdr:nvPicPr>
        <xdr:cNvPr id="46" name="image1.png">
          <a:extLst>
            <a:ext uri="{FF2B5EF4-FFF2-40B4-BE49-F238E27FC236}">
              <a16:creationId xmlns:a16="http://schemas.microsoft.com/office/drawing/2014/main" id="{3B038EB5-5957-4AA5-AF39-77051AD31FF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5500" y="9147175"/>
          <a:ext cx="152400" cy="152400"/>
        </a:xfrm>
        <a:prstGeom prst="rect">
          <a:avLst/>
        </a:prstGeom>
      </xdr:spPr>
    </xdr:pic>
    <xdr:clientData/>
  </xdr:oneCellAnchor>
  <xdr:oneCellAnchor>
    <xdr:from>
      <xdr:col>1</xdr:col>
      <xdr:colOff>63500</xdr:colOff>
      <xdr:row>49</xdr:row>
      <xdr:rowOff>12700</xdr:rowOff>
    </xdr:from>
    <xdr:ext cx="152400" cy="152400"/>
    <xdr:pic>
      <xdr:nvPicPr>
        <xdr:cNvPr id="47" name="image1.png">
          <a:extLst>
            <a:ext uri="{FF2B5EF4-FFF2-40B4-BE49-F238E27FC236}">
              <a16:creationId xmlns:a16="http://schemas.microsoft.com/office/drawing/2014/main" id="{4FEC2AE5-B0B7-41D0-9DFA-2534ACC21B5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5500" y="9318625"/>
          <a:ext cx="152400" cy="152400"/>
        </a:xfrm>
        <a:prstGeom prst="rect">
          <a:avLst/>
        </a:prstGeom>
      </xdr:spPr>
    </xdr:pic>
    <xdr:clientData/>
  </xdr:oneCellAnchor>
  <xdr:oneCellAnchor>
    <xdr:from>
      <xdr:col>1</xdr:col>
      <xdr:colOff>63500</xdr:colOff>
      <xdr:row>50</xdr:row>
      <xdr:rowOff>12700</xdr:rowOff>
    </xdr:from>
    <xdr:ext cx="152400" cy="152400"/>
    <xdr:pic>
      <xdr:nvPicPr>
        <xdr:cNvPr id="48" name="image1.png">
          <a:extLst>
            <a:ext uri="{FF2B5EF4-FFF2-40B4-BE49-F238E27FC236}">
              <a16:creationId xmlns:a16="http://schemas.microsoft.com/office/drawing/2014/main" id="{186B1368-C1EA-4C73-9839-1F17ABDF660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5500" y="9490075"/>
          <a:ext cx="152400" cy="152400"/>
        </a:xfrm>
        <a:prstGeom prst="rect">
          <a:avLst/>
        </a:prstGeom>
      </xdr:spPr>
    </xdr:pic>
    <xdr:clientData/>
  </xdr:oneCellAnchor>
  <xdr:oneCellAnchor>
    <xdr:from>
      <xdr:col>1</xdr:col>
      <xdr:colOff>63500</xdr:colOff>
      <xdr:row>51</xdr:row>
      <xdr:rowOff>12700</xdr:rowOff>
    </xdr:from>
    <xdr:ext cx="152400" cy="152400"/>
    <xdr:pic>
      <xdr:nvPicPr>
        <xdr:cNvPr id="49" name="image1.png">
          <a:extLst>
            <a:ext uri="{FF2B5EF4-FFF2-40B4-BE49-F238E27FC236}">
              <a16:creationId xmlns:a16="http://schemas.microsoft.com/office/drawing/2014/main" id="{234CE87A-A850-46B6-AF5B-D56A979F079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5500" y="9661525"/>
          <a:ext cx="152400" cy="152400"/>
        </a:xfrm>
        <a:prstGeom prst="rect">
          <a:avLst/>
        </a:prstGeom>
      </xdr:spPr>
    </xdr:pic>
    <xdr:clientData/>
  </xdr:oneCellAnchor>
  <xdr:oneCellAnchor>
    <xdr:from>
      <xdr:col>1</xdr:col>
      <xdr:colOff>63500</xdr:colOff>
      <xdr:row>52</xdr:row>
      <xdr:rowOff>12700</xdr:rowOff>
    </xdr:from>
    <xdr:ext cx="152400" cy="152400"/>
    <xdr:pic>
      <xdr:nvPicPr>
        <xdr:cNvPr id="50" name="image1.png">
          <a:extLst>
            <a:ext uri="{FF2B5EF4-FFF2-40B4-BE49-F238E27FC236}">
              <a16:creationId xmlns:a16="http://schemas.microsoft.com/office/drawing/2014/main" id="{848DD9BB-3BD6-4354-945F-47C1083F2CD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5500" y="9832975"/>
          <a:ext cx="152400" cy="152400"/>
        </a:xfrm>
        <a:prstGeom prst="rect">
          <a:avLst/>
        </a:prstGeom>
      </xdr:spPr>
    </xdr:pic>
    <xdr:clientData/>
  </xdr:oneCellAnchor>
  <xdr:oneCellAnchor>
    <xdr:from>
      <xdr:col>1</xdr:col>
      <xdr:colOff>63500</xdr:colOff>
      <xdr:row>53</xdr:row>
      <xdr:rowOff>12700</xdr:rowOff>
    </xdr:from>
    <xdr:ext cx="152400" cy="152400"/>
    <xdr:pic>
      <xdr:nvPicPr>
        <xdr:cNvPr id="51" name="image1.png">
          <a:extLst>
            <a:ext uri="{FF2B5EF4-FFF2-40B4-BE49-F238E27FC236}">
              <a16:creationId xmlns:a16="http://schemas.microsoft.com/office/drawing/2014/main" id="{DA71EB8B-C0AE-456C-953A-77EE0D488F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5500" y="10004425"/>
          <a:ext cx="152400" cy="152400"/>
        </a:xfrm>
        <a:prstGeom prst="rect">
          <a:avLst/>
        </a:prstGeom>
      </xdr:spPr>
    </xdr:pic>
    <xdr:clientData/>
  </xdr:oneCellAnchor>
  <xdr:oneCellAnchor>
    <xdr:from>
      <xdr:col>1</xdr:col>
      <xdr:colOff>63500</xdr:colOff>
      <xdr:row>54</xdr:row>
      <xdr:rowOff>12700</xdr:rowOff>
    </xdr:from>
    <xdr:ext cx="152400" cy="152400"/>
    <xdr:pic>
      <xdr:nvPicPr>
        <xdr:cNvPr id="52" name="image1.png">
          <a:extLst>
            <a:ext uri="{FF2B5EF4-FFF2-40B4-BE49-F238E27FC236}">
              <a16:creationId xmlns:a16="http://schemas.microsoft.com/office/drawing/2014/main" id="{0FC26A8B-3DC1-48F3-8C0F-F22F708B736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5500" y="10175875"/>
          <a:ext cx="152400" cy="152400"/>
        </a:xfrm>
        <a:prstGeom prst="rect">
          <a:avLst/>
        </a:prstGeom>
      </xdr:spPr>
    </xdr:pic>
    <xdr:clientData/>
  </xdr:oneCellAnchor>
  <xdr:oneCellAnchor>
    <xdr:from>
      <xdr:col>1</xdr:col>
      <xdr:colOff>63500</xdr:colOff>
      <xdr:row>55</xdr:row>
      <xdr:rowOff>12700</xdr:rowOff>
    </xdr:from>
    <xdr:ext cx="152400" cy="152400"/>
    <xdr:pic>
      <xdr:nvPicPr>
        <xdr:cNvPr id="53" name="image1.png">
          <a:extLst>
            <a:ext uri="{FF2B5EF4-FFF2-40B4-BE49-F238E27FC236}">
              <a16:creationId xmlns:a16="http://schemas.microsoft.com/office/drawing/2014/main" id="{110D3794-FB89-4EEA-9E36-C303146C3A6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5500" y="10347325"/>
          <a:ext cx="152400" cy="152400"/>
        </a:xfrm>
        <a:prstGeom prst="rect">
          <a:avLst/>
        </a:prstGeom>
      </xdr:spPr>
    </xdr:pic>
    <xdr:clientData/>
  </xdr:oneCellAnchor>
  <xdr:oneCellAnchor>
    <xdr:from>
      <xdr:col>1</xdr:col>
      <xdr:colOff>63500</xdr:colOff>
      <xdr:row>56</xdr:row>
      <xdr:rowOff>12700</xdr:rowOff>
    </xdr:from>
    <xdr:ext cx="152400" cy="152400"/>
    <xdr:pic>
      <xdr:nvPicPr>
        <xdr:cNvPr id="54" name="image1.png">
          <a:extLst>
            <a:ext uri="{FF2B5EF4-FFF2-40B4-BE49-F238E27FC236}">
              <a16:creationId xmlns:a16="http://schemas.microsoft.com/office/drawing/2014/main" id="{58B81D3C-7EA9-4D3D-BC79-D47036198A8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5500" y="10518775"/>
          <a:ext cx="152400" cy="152400"/>
        </a:xfrm>
        <a:prstGeom prst="rect">
          <a:avLst/>
        </a:prstGeom>
      </xdr:spPr>
    </xdr:pic>
    <xdr:clientData/>
  </xdr:oneCellAnchor>
  <xdr:oneCellAnchor>
    <xdr:from>
      <xdr:col>1</xdr:col>
      <xdr:colOff>63500</xdr:colOff>
      <xdr:row>57</xdr:row>
      <xdr:rowOff>12700</xdr:rowOff>
    </xdr:from>
    <xdr:ext cx="152400" cy="152400"/>
    <xdr:pic>
      <xdr:nvPicPr>
        <xdr:cNvPr id="55" name="image1.png">
          <a:extLst>
            <a:ext uri="{FF2B5EF4-FFF2-40B4-BE49-F238E27FC236}">
              <a16:creationId xmlns:a16="http://schemas.microsoft.com/office/drawing/2014/main" id="{AFDA65B3-C899-4060-9C2A-9177D29E7A1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5500" y="10690225"/>
          <a:ext cx="152400" cy="152400"/>
        </a:xfrm>
        <a:prstGeom prst="rect">
          <a:avLst/>
        </a:prstGeom>
      </xdr:spPr>
    </xdr:pic>
    <xdr:clientData/>
  </xdr:oneCellAnchor>
  <xdr:oneCellAnchor>
    <xdr:from>
      <xdr:col>1</xdr:col>
      <xdr:colOff>63500</xdr:colOff>
      <xdr:row>58</xdr:row>
      <xdr:rowOff>12700</xdr:rowOff>
    </xdr:from>
    <xdr:ext cx="152400" cy="152400"/>
    <xdr:pic>
      <xdr:nvPicPr>
        <xdr:cNvPr id="56" name="image1.png">
          <a:extLst>
            <a:ext uri="{FF2B5EF4-FFF2-40B4-BE49-F238E27FC236}">
              <a16:creationId xmlns:a16="http://schemas.microsoft.com/office/drawing/2014/main" id="{3F51B7DA-1525-43F8-8822-EBD0AA01156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5500" y="10861675"/>
          <a:ext cx="152400" cy="152400"/>
        </a:xfrm>
        <a:prstGeom prst="rect">
          <a:avLst/>
        </a:prstGeom>
      </xdr:spPr>
    </xdr:pic>
    <xdr:clientData/>
  </xdr:oneCellAnchor>
  <xdr:oneCellAnchor>
    <xdr:from>
      <xdr:col>1</xdr:col>
      <xdr:colOff>63500</xdr:colOff>
      <xdr:row>59</xdr:row>
      <xdr:rowOff>12700</xdr:rowOff>
    </xdr:from>
    <xdr:ext cx="152400" cy="152400"/>
    <xdr:pic>
      <xdr:nvPicPr>
        <xdr:cNvPr id="57" name="image1.png">
          <a:extLst>
            <a:ext uri="{FF2B5EF4-FFF2-40B4-BE49-F238E27FC236}">
              <a16:creationId xmlns:a16="http://schemas.microsoft.com/office/drawing/2014/main" id="{CC3ECD57-1151-4958-9E4C-C41C4032BD3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5500" y="11033125"/>
          <a:ext cx="152400" cy="152400"/>
        </a:xfrm>
        <a:prstGeom prst="rect">
          <a:avLst/>
        </a:prstGeom>
      </xdr:spPr>
    </xdr:pic>
    <xdr:clientData/>
  </xdr:oneCellAnchor>
  <xdr:oneCellAnchor>
    <xdr:from>
      <xdr:col>1</xdr:col>
      <xdr:colOff>63500</xdr:colOff>
      <xdr:row>60</xdr:row>
      <xdr:rowOff>12700</xdr:rowOff>
    </xdr:from>
    <xdr:ext cx="152400" cy="152400"/>
    <xdr:pic>
      <xdr:nvPicPr>
        <xdr:cNvPr id="58" name="image1.png">
          <a:extLst>
            <a:ext uri="{FF2B5EF4-FFF2-40B4-BE49-F238E27FC236}">
              <a16:creationId xmlns:a16="http://schemas.microsoft.com/office/drawing/2014/main" id="{6E8A8323-96CD-4319-81AA-47CC21A7E8A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5500" y="11204575"/>
          <a:ext cx="152400" cy="152400"/>
        </a:xfrm>
        <a:prstGeom prst="rect">
          <a:avLst/>
        </a:prstGeom>
      </xdr:spPr>
    </xdr:pic>
    <xdr:clientData/>
  </xdr:oneCellAnchor>
  <xdr:oneCellAnchor>
    <xdr:from>
      <xdr:col>1</xdr:col>
      <xdr:colOff>63500</xdr:colOff>
      <xdr:row>61</xdr:row>
      <xdr:rowOff>12700</xdr:rowOff>
    </xdr:from>
    <xdr:ext cx="152400" cy="152400"/>
    <xdr:pic>
      <xdr:nvPicPr>
        <xdr:cNvPr id="59" name="image1.png">
          <a:extLst>
            <a:ext uri="{FF2B5EF4-FFF2-40B4-BE49-F238E27FC236}">
              <a16:creationId xmlns:a16="http://schemas.microsoft.com/office/drawing/2014/main" id="{B8AA2A9F-2D5F-48A7-A0FD-E289A822E73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5500" y="11376025"/>
          <a:ext cx="152400" cy="152400"/>
        </a:xfrm>
        <a:prstGeom prst="rect">
          <a:avLst/>
        </a:prstGeom>
      </xdr:spPr>
    </xdr:pic>
    <xdr:clientData/>
  </xdr:oneCellAnchor>
  <xdr:oneCellAnchor>
    <xdr:from>
      <xdr:col>1</xdr:col>
      <xdr:colOff>63500</xdr:colOff>
      <xdr:row>62</xdr:row>
      <xdr:rowOff>12700</xdr:rowOff>
    </xdr:from>
    <xdr:ext cx="152400" cy="152400"/>
    <xdr:pic>
      <xdr:nvPicPr>
        <xdr:cNvPr id="60" name="image1.png">
          <a:extLst>
            <a:ext uri="{FF2B5EF4-FFF2-40B4-BE49-F238E27FC236}">
              <a16:creationId xmlns:a16="http://schemas.microsoft.com/office/drawing/2014/main" id="{AF4A9B5E-2D1F-466A-A51A-2DF25DED4ED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5500" y="11547475"/>
          <a:ext cx="152400" cy="152400"/>
        </a:xfrm>
        <a:prstGeom prst="rect">
          <a:avLst/>
        </a:prstGeom>
      </xdr:spPr>
    </xdr:pic>
    <xdr:clientData/>
  </xdr:oneCellAnchor>
  <xdr:oneCellAnchor>
    <xdr:from>
      <xdr:col>1</xdr:col>
      <xdr:colOff>63500</xdr:colOff>
      <xdr:row>63</xdr:row>
      <xdr:rowOff>12700</xdr:rowOff>
    </xdr:from>
    <xdr:ext cx="152400" cy="152400"/>
    <xdr:pic>
      <xdr:nvPicPr>
        <xdr:cNvPr id="61" name="image1.png">
          <a:extLst>
            <a:ext uri="{FF2B5EF4-FFF2-40B4-BE49-F238E27FC236}">
              <a16:creationId xmlns:a16="http://schemas.microsoft.com/office/drawing/2014/main" id="{C05943F0-8C0E-41B4-8704-8D5A9BB3334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5500" y="11718925"/>
          <a:ext cx="152400" cy="152400"/>
        </a:xfrm>
        <a:prstGeom prst="rect">
          <a:avLst/>
        </a:prstGeom>
      </xdr:spPr>
    </xdr:pic>
    <xdr:clientData/>
  </xdr:oneCellAnchor>
  <xdr:oneCellAnchor>
    <xdr:from>
      <xdr:col>1</xdr:col>
      <xdr:colOff>63500</xdr:colOff>
      <xdr:row>64</xdr:row>
      <xdr:rowOff>12700</xdr:rowOff>
    </xdr:from>
    <xdr:ext cx="152400" cy="152400"/>
    <xdr:pic>
      <xdr:nvPicPr>
        <xdr:cNvPr id="62" name="image1.png">
          <a:extLst>
            <a:ext uri="{FF2B5EF4-FFF2-40B4-BE49-F238E27FC236}">
              <a16:creationId xmlns:a16="http://schemas.microsoft.com/office/drawing/2014/main" id="{B052DC7F-3D8E-46F4-B38A-BD9C4A0144E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5500" y="11890375"/>
          <a:ext cx="152400" cy="152400"/>
        </a:xfrm>
        <a:prstGeom prst="rect">
          <a:avLst/>
        </a:prstGeom>
      </xdr:spPr>
    </xdr:pic>
    <xdr:clientData/>
  </xdr:oneCellAnchor>
  <xdr:oneCellAnchor>
    <xdr:from>
      <xdr:col>1</xdr:col>
      <xdr:colOff>63500</xdr:colOff>
      <xdr:row>65</xdr:row>
      <xdr:rowOff>12700</xdr:rowOff>
    </xdr:from>
    <xdr:ext cx="152400" cy="152400"/>
    <xdr:pic>
      <xdr:nvPicPr>
        <xdr:cNvPr id="63" name="image1.png">
          <a:extLst>
            <a:ext uri="{FF2B5EF4-FFF2-40B4-BE49-F238E27FC236}">
              <a16:creationId xmlns:a16="http://schemas.microsoft.com/office/drawing/2014/main" id="{DA44E3D0-438C-471B-B607-0346500455B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5500" y="12061825"/>
          <a:ext cx="152400" cy="152400"/>
        </a:xfrm>
        <a:prstGeom prst="rect">
          <a:avLst/>
        </a:prstGeom>
      </xdr:spPr>
    </xdr:pic>
    <xdr:clientData/>
  </xdr:oneCellAnchor>
  <xdr:oneCellAnchor>
    <xdr:from>
      <xdr:col>1</xdr:col>
      <xdr:colOff>63500</xdr:colOff>
      <xdr:row>66</xdr:row>
      <xdr:rowOff>12700</xdr:rowOff>
    </xdr:from>
    <xdr:ext cx="152400" cy="152400"/>
    <xdr:pic>
      <xdr:nvPicPr>
        <xdr:cNvPr id="64" name="image1.png">
          <a:extLst>
            <a:ext uri="{FF2B5EF4-FFF2-40B4-BE49-F238E27FC236}">
              <a16:creationId xmlns:a16="http://schemas.microsoft.com/office/drawing/2014/main" id="{A0F2150B-491E-4906-87B0-9D88667F3CE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5500" y="12233275"/>
          <a:ext cx="152400" cy="152400"/>
        </a:xfrm>
        <a:prstGeom prst="rect">
          <a:avLst/>
        </a:prstGeom>
      </xdr:spPr>
    </xdr:pic>
    <xdr:clientData/>
  </xdr:oneCellAnchor>
  <xdr:oneCellAnchor>
    <xdr:from>
      <xdr:col>1</xdr:col>
      <xdr:colOff>63500</xdr:colOff>
      <xdr:row>67</xdr:row>
      <xdr:rowOff>12700</xdr:rowOff>
    </xdr:from>
    <xdr:ext cx="152400" cy="152400"/>
    <xdr:pic>
      <xdr:nvPicPr>
        <xdr:cNvPr id="65" name="image1.png">
          <a:extLst>
            <a:ext uri="{FF2B5EF4-FFF2-40B4-BE49-F238E27FC236}">
              <a16:creationId xmlns:a16="http://schemas.microsoft.com/office/drawing/2014/main" id="{B4FC161F-2E94-44EB-8CDB-973C98BF5B0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5500" y="12404725"/>
          <a:ext cx="152400" cy="152400"/>
        </a:xfrm>
        <a:prstGeom prst="rect">
          <a:avLst/>
        </a:prstGeom>
      </xdr:spPr>
    </xdr:pic>
    <xdr:clientData/>
  </xdr:oneCellAnchor>
  <xdr:oneCellAnchor>
    <xdr:from>
      <xdr:col>1</xdr:col>
      <xdr:colOff>63500</xdr:colOff>
      <xdr:row>68</xdr:row>
      <xdr:rowOff>12700</xdr:rowOff>
    </xdr:from>
    <xdr:ext cx="152400" cy="152400"/>
    <xdr:pic>
      <xdr:nvPicPr>
        <xdr:cNvPr id="66" name="image1.png">
          <a:extLst>
            <a:ext uri="{FF2B5EF4-FFF2-40B4-BE49-F238E27FC236}">
              <a16:creationId xmlns:a16="http://schemas.microsoft.com/office/drawing/2014/main" id="{1CA87A6C-E486-4442-829A-BFEFA7C986D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5500" y="12576175"/>
          <a:ext cx="152400" cy="152400"/>
        </a:xfrm>
        <a:prstGeom prst="rect">
          <a:avLst/>
        </a:prstGeom>
      </xdr:spPr>
    </xdr:pic>
    <xdr:clientData/>
  </xdr:oneCellAnchor>
  <xdr:oneCellAnchor>
    <xdr:from>
      <xdr:col>1</xdr:col>
      <xdr:colOff>63500</xdr:colOff>
      <xdr:row>69</xdr:row>
      <xdr:rowOff>12700</xdr:rowOff>
    </xdr:from>
    <xdr:ext cx="152400" cy="152400"/>
    <xdr:pic>
      <xdr:nvPicPr>
        <xdr:cNvPr id="67" name="image1.png">
          <a:extLst>
            <a:ext uri="{FF2B5EF4-FFF2-40B4-BE49-F238E27FC236}">
              <a16:creationId xmlns:a16="http://schemas.microsoft.com/office/drawing/2014/main" id="{7BE933DD-1FDF-444C-979D-0D59BA0A075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5500" y="12747625"/>
          <a:ext cx="152400" cy="152400"/>
        </a:xfrm>
        <a:prstGeom prst="rect">
          <a:avLst/>
        </a:prstGeom>
      </xdr:spPr>
    </xdr:pic>
    <xdr:clientData/>
  </xdr:oneCellAnchor>
  <xdr:oneCellAnchor>
    <xdr:from>
      <xdr:col>1</xdr:col>
      <xdr:colOff>63500</xdr:colOff>
      <xdr:row>70</xdr:row>
      <xdr:rowOff>12700</xdr:rowOff>
    </xdr:from>
    <xdr:ext cx="152400" cy="152400"/>
    <xdr:pic>
      <xdr:nvPicPr>
        <xdr:cNvPr id="68" name="image1.png">
          <a:extLst>
            <a:ext uri="{FF2B5EF4-FFF2-40B4-BE49-F238E27FC236}">
              <a16:creationId xmlns:a16="http://schemas.microsoft.com/office/drawing/2014/main" id="{F07E3107-BC21-4BB8-B9EF-23E321A76A8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5500" y="12919075"/>
          <a:ext cx="152400" cy="152400"/>
        </a:xfrm>
        <a:prstGeom prst="rect">
          <a:avLst/>
        </a:prstGeom>
      </xdr:spPr>
    </xdr:pic>
    <xdr:clientData/>
  </xdr:oneCellAnchor>
  <xdr:oneCellAnchor>
    <xdr:from>
      <xdr:col>1</xdr:col>
      <xdr:colOff>63500</xdr:colOff>
      <xdr:row>71</xdr:row>
      <xdr:rowOff>12700</xdr:rowOff>
    </xdr:from>
    <xdr:ext cx="152400" cy="152400"/>
    <xdr:pic>
      <xdr:nvPicPr>
        <xdr:cNvPr id="69" name="image1.png">
          <a:extLst>
            <a:ext uri="{FF2B5EF4-FFF2-40B4-BE49-F238E27FC236}">
              <a16:creationId xmlns:a16="http://schemas.microsoft.com/office/drawing/2014/main" id="{5DAA5297-093A-4C46-8839-63D2190FD75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5500" y="13090525"/>
          <a:ext cx="152400" cy="152400"/>
        </a:xfrm>
        <a:prstGeom prst="rect">
          <a:avLst/>
        </a:prstGeom>
      </xdr:spPr>
    </xdr:pic>
    <xdr:clientData/>
  </xdr:oneCellAnchor>
  <xdr:oneCellAnchor>
    <xdr:from>
      <xdr:col>1</xdr:col>
      <xdr:colOff>63500</xdr:colOff>
      <xdr:row>72</xdr:row>
      <xdr:rowOff>12700</xdr:rowOff>
    </xdr:from>
    <xdr:ext cx="152400" cy="152400"/>
    <xdr:pic>
      <xdr:nvPicPr>
        <xdr:cNvPr id="70" name="image1.png">
          <a:extLst>
            <a:ext uri="{FF2B5EF4-FFF2-40B4-BE49-F238E27FC236}">
              <a16:creationId xmlns:a16="http://schemas.microsoft.com/office/drawing/2014/main" id="{356DC331-7C01-44A2-BF34-3E66639BB72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5500" y="13261975"/>
          <a:ext cx="152400" cy="152400"/>
        </a:xfrm>
        <a:prstGeom prst="rect">
          <a:avLst/>
        </a:prstGeom>
      </xdr:spPr>
    </xdr:pic>
    <xdr:clientData/>
  </xdr:oneCellAnchor>
  <xdr:oneCellAnchor>
    <xdr:from>
      <xdr:col>1</xdr:col>
      <xdr:colOff>63500</xdr:colOff>
      <xdr:row>73</xdr:row>
      <xdr:rowOff>12700</xdr:rowOff>
    </xdr:from>
    <xdr:ext cx="152400" cy="152400"/>
    <xdr:pic>
      <xdr:nvPicPr>
        <xdr:cNvPr id="71" name="image1.png">
          <a:extLst>
            <a:ext uri="{FF2B5EF4-FFF2-40B4-BE49-F238E27FC236}">
              <a16:creationId xmlns:a16="http://schemas.microsoft.com/office/drawing/2014/main" id="{8B323E05-D4AC-4DE3-B8AE-8D057E46212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5500" y="13433425"/>
          <a:ext cx="152400" cy="152400"/>
        </a:xfrm>
        <a:prstGeom prst="rect">
          <a:avLst/>
        </a:prstGeom>
      </xdr:spPr>
    </xdr:pic>
    <xdr:clientData/>
  </xdr:oneCellAnchor>
  <xdr:oneCellAnchor>
    <xdr:from>
      <xdr:col>1</xdr:col>
      <xdr:colOff>63500</xdr:colOff>
      <xdr:row>74</xdr:row>
      <xdr:rowOff>12700</xdr:rowOff>
    </xdr:from>
    <xdr:ext cx="152400" cy="152400"/>
    <xdr:pic>
      <xdr:nvPicPr>
        <xdr:cNvPr id="72" name="image1.png">
          <a:extLst>
            <a:ext uri="{FF2B5EF4-FFF2-40B4-BE49-F238E27FC236}">
              <a16:creationId xmlns:a16="http://schemas.microsoft.com/office/drawing/2014/main" id="{6252CDC6-8BA5-46A4-A71D-0D26515E301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5500" y="13604875"/>
          <a:ext cx="152400" cy="152400"/>
        </a:xfrm>
        <a:prstGeom prst="rect">
          <a:avLst/>
        </a:prstGeom>
      </xdr:spPr>
    </xdr:pic>
    <xdr:clientData/>
  </xdr:oneCellAnchor>
  <xdr:oneCellAnchor>
    <xdr:from>
      <xdr:col>1</xdr:col>
      <xdr:colOff>63500</xdr:colOff>
      <xdr:row>75</xdr:row>
      <xdr:rowOff>12700</xdr:rowOff>
    </xdr:from>
    <xdr:ext cx="152400" cy="152400"/>
    <xdr:pic>
      <xdr:nvPicPr>
        <xdr:cNvPr id="73" name="image1.png">
          <a:extLst>
            <a:ext uri="{FF2B5EF4-FFF2-40B4-BE49-F238E27FC236}">
              <a16:creationId xmlns:a16="http://schemas.microsoft.com/office/drawing/2014/main" id="{21E8B94A-48F2-479A-A103-1C23C6DAF9F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5500" y="13776325"/>
          <a:ext cx="152400" cy="152400"/>
        </a:xfrm>
        <a:prstGeom prst="rect">
          <a:avLst/>
        </a:prstGeom>
      </xdr:spPr>
    </xdr:pic>
    <xdr:clientData/>
  </xdr:oneCellAnchor>
  <xdr:oneCellAnchor>
    <xdr:from>
      <xdr:col>1</xdr:col>
      <xdr:colOff>63500</xdr:colOff>
      <xdr:row>76</xdr:row>
      <xdr:rowOff>12700</xdr:rowOff>
    </xdr:from>
    <xdr:ext cx="152400" cy="152400"/>
    <xdr:pic>
      <xdr:nvPicPr>
        <xdr:cNvPr id="74" name="image1.png">
          <a:extLst>
            <a:ext uri="{FF2B5EF4-FFF2-40B4-BE49-F238E27FC236}">
              <a16:creationId xmlns:a16="http://schemas.microsoft.com/office/drawing/2014/main" id="{9B6512FB-652C-48B1-8513-A7B9CBFC191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5500" y="13947775"/>
          <a:ext cx="152400" cy="152400"/>
        </a:xfrm>
        <a:prstGeom prst="rect">
          <a:avLst/>
        </a:prstGeom>
      </xdr:spPr>
    </xdr:pic>
    <xdr:clientData/>
  </xdr:oneCellAnchor>
  <xdr:oneCellAnchor>
    <xdr:from>
      <xdr:col>1</xdr:col>
      <xdr:colOff>63500</xdr:colOff>
      <xdr:row>77</xdr:row>
      <xdr:rowOff>12700</xdr:rowOff>
    </xdr:from>
    <xdr:ext cx="152400" cy="152400"/>
    <xdr:pic>
      <xdr:nvPicPr>
        <xdr:cNvPr id="75" name="image1.png">
          <a:extLst>
            <a:ext uri="{FF2B5EF4-FFF2-40B4-BE49-F238E27FC236}">
              <a16:creationId xmlns:a16="http://schemas.microsoft.com/office/drawing/2014/main" id="{66600553-31F5-478A-B64F-C6FD4D9DB2F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5500" y="14119225"/>
          <a:ext cx="152400" cy="152400"/>
        </a:xfrm>
        <a:prstGeom prst="rect">
          <a:avLst/>
        </a:prstGeom>
      </xdr:spPr>
    </xdr:pic>
    <xdr:clientData/>
  </xdr:oneCellAnchor>
  <xdr:oneCellAnchor>
    <xdr:from>
      <xdr:col>1</xdr:col>
      <xdr:colOff>63500</xdr:colOff>
      <xdr:row>78</xdr:row>
      <xdr:rowOff>12700</xdr:rowOff>
    </xdr:from>
    <xdr:ext cx="152400" cy="152400"/>
    <xdr:pic>
      <xdr:nvPicPr>
        <xdr:cNvPr id="76" name="image1.png">
          <a:extLst>
            <a:ext uri="{FF2B5EF4-FFF2-40B4-BE49-F238E27FC236}">
              <a16:creationId xmlns:a16="http://schemas.microsoft.com/office/drawing/2014/main" id="{E82F93AB-7265-4AD1-AB9C-93EC91B43F0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5500" y="14290675"/>
          <a:ext cx="152400" cy="152400"/>
        </a:xfrm>
        <a:prstGeom prst="rect">
          <a:avLst/>
        </a:prstGeom>
      </xdr:spPr>
    </xdr:pic>
    <xdr:clientData/>
  </xdr:oneCellAnchor>
  <xdr:oneCellAnchor>
    <xdr:from>
      <xdr:col>1</xdr:col>
      <xdr:colOff>63500</xdr:colOff>
      <xdr:row>79</xdr:row>
      <xdr:rowOff>12700</xdr:rowOff>
    </xdr:from>
    <xdr:ext cx="152400" cy="152400"/>
    <xdr:pic>
      <xdr:nvPicPr>
        <xdr:cNvPr id="77" name="image1.png">
          <a:extLst>
            <a:ext uri="{FF2B5EF4-FFF2-40B4-BE49-F238E27FC236}">
              <a16:creationId xmlns:a16="http://schemas.microsoft.com/office/drawing/2014/main" id="{456B520C-378B-4BB6-B6CA-DEA0A0B9577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5500" y="14462125"/>
          <a:ext cx="152400" cy="152400"/>
        </a:xfrm>
        <a:prstGeom prst="rect">
          <a:avLst/>
        </a:prstGeom>
      </xdr:spPr>
    </xdr:pic>
    <xdr:clientData/>
  </xdr:oneCellAnchor>
  <xdr:oneCellAnchor>
    <xdr:from>
      <xdr:col>1</xdr:col>
      <xdr:colOff>63500</xdr:colOff>
      <xdr:row>80</xdr:row>
      <xdr:rowOff>12700</xdr:rowOff>
    </xdr:from>
    <xdr:ext cx="152400" cy="152400"/>
    <xdr:pic>
      <xdr:nvPicPr>
        <xdr:cNvPr id="78" name="image1.png">
          <a:extLst>
            <a:ext uri="{FF2B5EF4-FFF2-40B4-BE49-F238E27FC236}">
              <a16:creationId xmlns:a16="http://schemas.microsoft.com/office/drawing/2014/main" id="{D817211F-3314-4362-8BEC-DA273A3E9E1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5500" y="14633575"/>
          <a:ext cx="152400" cy="152400"/>
        </a:xfrm>
        <a:prstGeom prst="rect">
          <a:avLst/>
        </a:prstGeom>
      </xdr:spPr>
    </xdr:pic>
    <xdr:clientData/>
  </xdr:oneCellAnchor>
  <xdr:oneCellAnchor>
    <xdr:from>
      <xdr:col>1</xdr:col>
      <xdr:colOff>63500</xdr:colOff>
      <xdr:row>81</xdr:row>
      <xdr:rowOff>12700</xdr:rowOff>
    </xdr:from>
    <xdr:ext cx="152400" cy="152400"/>
    <xdr:pic>
      <xdr:nvPicPr>
        <xdr:cNvPr id="79" name="image1.png">
          <a:extLst>
            <a:ext uri="{FF2B5EF4-FFF2-40B4-BE49-F238E27FC236}">
              <a16:creationId xmlns:a16="http://schemas.microsoft.com/office/drawing/2014/main" id="{1D3D5647-9ADE-434C-BFD1-07ADCF693CF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5500" y="14805025"/>
          <a:ext cx="152400" cy="152400"/>
        </a:xfrm>
        <a:prstGeom prst="rect">
          <a:avLst/>
        </a:prstGeom>
      </xdr:spPr>
    </xdr:pic>
    <xdr:clientData/>
  </xdr:oneCellAnchor>
  <xdr:oneCellAnchor>
    <xdr:from>
      <xdr:col>1</xdr:col>
      <xdr:colOff>63500</xdr:colOff>
      <xdr:row>82</xdr:row>
      <xdr:rowOff>12700</xdr:rowOff>
    </xdr:from>
    <xdr:ext cx="152400" cy="152400"/>
    <xdr:pic>
      <xdr:nvPicPr>
        <xdr:cNvPr id="80" name="image1.png">
          <a:extLst>
            <a:ext uri="{FF2B5EF4-FFF2-40B4-BE49-F238E27FC236}">
              <a16:creationId xmlns:a16="http://schemas.microsoft.com/office/drawing/2014/main" id="{091BCA1B-0839-41C0-A448-3FD3FF366F2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5500" y="14976475"/>
          <a:ext cx="152400" cy="152400"/>
        </a:xfrm>
        <a:prstGeom prst="rect">
          <a:avLst/>
        </a:prstGeom>
      </xdr:spPr>
    </xdr:pic>
    <xdr:clientData/>
  </xdr:oneCellAnchor>
  <xdr:oneCellAnchor>
    <xdr:from>
      <xdr:col>1</xdr:col>
      <xdr:colOff>63500</xdr:colOff>
      <xdr:row>83</xdr:row>
      <xdr:rowOff>12700</xdr:rowOff>
    </xdr:from>
    <xdr:ext cx="152400" cy="152400"/>
    <xdr:pic>
      <xdr:nvPicPr>
        <xdr:cNvPr id="81" name="image1.png">
          <a:extLst>
            <a:ext uri="{FF2B5EF4-FFF2-40B4-BE49-F238E27FC236}">
              <a16:creationId xmlns:a16="http://schemas.microsoft.com/office/drawing/2014/main" id="{D999146C-3838-405B-A812-2DFC93B701D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5500" y="15147925"/>
          <a:ext cx="152400" cy="152400"/>
        </a:xfrm>
        <a:prstGeom prst="rect">
          <a:avLst/>
        </a:prstGeom>
      </xdr:spPr>
    </xdr:pic>
    <xdr:clientData/>
  </xdr:oneCellAnchor>
  <xdr:oneCellAnchor>
    <xdr:from>
      <xdr:col>1</xdr:col>
      <xdr:colOff>63500</xdr:colOff>
      <xdr:row>84</xdr:row>
      <xdr:rowOff>12700</xdr:rowOff>
    </xdr:from>
    <xdr:ext cx="152400" cy="152400"/>
    <xdr:pic>
      <xdr:nvPicPr>
        <xdr:cNvPr id="82" name="image1.png">
          <a:extLst>
            <a:ext uri="{FF2B5EF4-FFF2-40B4-BE49-F238E27FC236}">
              <a16:creationId xmlns:a16="http://schemas.microsoft.com/office/drawing/2014/main" id="{7558D607-45A1-4806-9A7B-908DEDFA401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5500" y="15319375"/>
          <a:ext cx="152400" cy="152400"/>
        </a:xfrm>
        <a:prstGeom prst="rect">
          <a:avLst/>
        </a:prstGeom>
      </xdr:spPr>
    </xdr:pic>
    <xdr:clientData/>
  </xdr:oneCellAnchor>
  <xdr:oneCellAnchor>
    <xdr:from>
      <xdr:col>1</xdr:col>
      <xdr:colOff>63500</xdr:colOff>
      <xdr:row>85</xdr:row>
      <xdr:rowOff>12700</xdr:rowOff>
    </xdr:from>
    <xdr:ext cx="152400" cy="152400"/>
    <xdr:pic>
      <xdr:nvPicPr>
        <xdr:cNvPr id="83" name="image1.png">
          <a:extLst>
            <a:ext uri="{FF2B5EF4-FFF2-40B4-BE49-F238E27FC236}">
              <a16:creationId xmlns:a16="http://schemas.microsoft.com/office/drawing/2014/main" id="{F7C26C26-5B0E-429F-8A5B-679C737D764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5500" y="15490825"/>
          <a:ext cx="152400" cy="152400"/>
        </a:xfrm>
        <a:prstGeom prst="rect">
          <a:avLst/>
        </a:prstGeom>
      </xdr:spPr>
    </xdr:pic>
    <xdr:clientData/>
  </xdr:oneCellAnchor>
  <xdr:oneCellAnchor>
    <xdr:from>
      <xdr:col>1</xdr:col>
      <xdr:colOff>63500</xdr:colOff>
      <xdr:row>86</xdr:row>
      <xdr:rowOff>12700</xdr:rowOff>
    </xdr:from>
    <xdr:ext cx="152400" cy="152400"/>
    <xdr:pic>
      <xdr:nvPicPr>
        <xdr:cNvPr id="84" name="image1.png">
          <a:extLst>
            <a:ext uri="{FF2B5EF4-FFF2-40B4-BE49-F238E27FC236}">
              <a16:creationId xmlns:a16="http://schemas.microsoft.com/office/drawing/2014/main" id="{07FC1836-EA24-45FC-BD79-F5C24314669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5500" y="15662275"/>
          <a:ext cx="152400" cy="152400"/>
        </a:xfrm>
        <a:prstGeom prst="rect">
          <a:avLst/>
        </a:prstGeom>
      </xdr:spPr>
    </xdr:pic>
    <xdr:clientData/>
  </xdr:oneCellAnchor>
  <xdr:oneCellAnchor>
    <xdr:from>
      <xdr:col>1</xdr:col>
      <xdr:colOff>63500</xdr:colOff>
      <xdr:row>87</xdr:row>
      <xdr:rowOff>12700</xdr:rowOff>
    </xdr:from>
    <xdr:ext cx="152400" cy="152400"/>
    <xdr:pic>
      <xdr:nvPicPr>
        <xdr:cNvPr id="85" name="image1.png">
          <a:extLst>
            <a:ext uri="{FF2B5EF4-FFF2-40B4-BE49-F238E27FC236}">
              <a16:creationId xmlns:a16="http://schemas.microsoft.com/office/drawing/2014/main" id="{9239C72B-2AA1-4C68-8B3B-AF370D43059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5500" y="15833725"/>
          <a:ext cx="152400" cy="152400"/>
        </a:xfrm>
        <a:prstGeom prst="rect">
          <a:avLst/>
        </a:prstGeom>
      </xdr:spPr>
    </xdr:pic>
    <xdr:clientData/>
  </xdr:oneCellAnchor>
  <xdr:oneCellAnchor>
    <xdr:from>
      <xdr:col>1</xdr:col>
      <xdr:colOff>82550</xdr:colOff>
      <xdr:row>88</xdr:row>
      <xdr:rowOff>12700</xdr:rowOff>
    </xdr:from>
    <xdr:ext cx="123825" cy="152400"/>
    <xdr:pic>
      <xdr:nvPicPr>
        <xdr:cNvPr id="86" name="image2.png">
          <a:extLst>
            <a:ext uri="{FF2B5EF4-FFF2-40B4-BE49-F238E27FC236}">
              <a16:creationId xmlns:a16="http://schemas.microsoft.com/office/drawing/2014/main" id="{FC8B1FF0-D5FA-472A-8ED2-4A4BFD2D945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44550" y="16005175"/>
          <a:ext cx="123825" cy="152400"/>
        </a:xfrm>
        <a:prstGeom prst="rect">
          <a:avLst/>
        </a:prstGeom>
      </xdr:spPr>
    </xdr:pic>
    <xdr:clientData/>
  </xdr:oneCellAnchor>
  <xdr:oneCellAnchor>
    <xdr:from>
      <xdr:col>1</xdr:col>
      <xdr:colOff>63500</xdr:colOff>
      <xdr:row>89</xdr:row>
      <xdr:rowOff>12700</xdr:rowOff>
    </xdr:from>
    <xdr:ext cx="152400" cy="152400"/>
    <xdr:pic>
      <xdr:nvPicPr>
        <xdr:cNvPr id="87" name="image1.png">
          <a:extLst>
            <a:ext uri="{FF2B5EF4-FFF2-40B4-BE49-F238E27FC236}">
              <a16:creationId xmlns:a16="http://schemas.microsoft.com/office/drawing/2014/main" id="{8C0B0815-4ACD-4A95-850D-5899426E52F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5500" y="16176625"/>
          <a:ext cx="152400" cy="152400"/>
        </a:xfrm>
        <a:prstGeom prst="rect">
          <a:avLst/>
        </a:prstGeom>
      </xdr:spPr>
    </xdr:pic>
    <xdr:clientData/>
  </xdr:oneCellAnchor>
  <xdr:oneCellAnchor>
    <xdr:from>
      <xdr:col>1</xdr:col>
      <xdr:colOff>63500</xdr:colOff>
      <xdr:row>90</xdr:row>
      <xdr:rowOff>12700</xdr:rowOff>
    </xdr:from>
    <xdr:ext cx="152400" cy="152400"/>
    <xdr:pic>
      <xdr:nvPicPr>
        <xdr:cNvPr id="88" name="image1.png">
          <a:extLst>
            <a:ext uri="{FF2B5EF4-FFF2-40B4-BE49-F238E27FC236}">
              <a16:creationId xmlns:a16="http://schemas.microsoft.com/office/drawing/2014/main" id="{9333B499-4EEA-46C4-81D0-A7FA5368908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5500" y="16348075"/>
          <a:ext cx="152400" cy="152400"/>
        </a:xfrm>
        <a:prstGeom prst="rect">
          <a:avLst/>
        </a:prstGeom>
      </xdr:spPr>
    </xdr:pic>
    <xdr:clientData/>
  </xdr:oneCellAnchor>
  <xdr:oneCellAnchor>
    <xdr:from>
      <xdr:col>1</xdr:col>
      <xdr:colOff>63500</xdr:colOff>
      <xdr:row>91</xdr:row>
      <xdr:rowOff>12700</xdr:rowOff>
    </xdr:from>
    <xdr:ext cx="152400" cy="152400"/>
    <xdr:pic>
      <xdr:nvPicPr>
        <xdr:cNvPr id="89" name="image1.png">
          <a:extLst>
            <a:ext uri="{FF2B5EF4-FFF2-40B4-BE49-F238E27FC236}">
              <a16:creationId xmlns:a16="http://schemas.microsoft.com/office/drawing/2014/main" id="{12B8E10C-55D0-4136-AD7E-335F0B84FF6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5500" y="16519525"/>
          <a:ext cx="152400" cy="152400"/>
        </a:xfrm>
        <a:prstGeom prst="rect">
          <a:avLst/>
        </a:prstGeom>
      </xdr:spPr>
    </xdr:pic>
    <xdr:clientData/>
  </xdr:oneCellAnchor>
  <xdr:oneCellAnchor>
    <xdr:from>
      <xdr:col>1</xdr:col>
      <xdr:colOff>63500</xdr:colOff>
      <xdr:row>92</xdr:row>
      <xdr:rowOff>12700</xdr:rowOff>
    </xdr:from>
    <xdr:ext cx="152400" cy="152400"/>
    <xdr:pic>
      <xdr:nvPicPr>
        <xdr:cNvPr id="90" name="image1.png">
          <a:extLst>
            <a:ext uri="{FF2B5EF4-FFF2-40B4-BE49-F238E27FC236}">
              <a16:creationId xmlns:a16="http://schemas.microsoft.com/office/drawing/2014/main" id="{75193379-28D3-4E58-A9D5-48239BEE68F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5500" y="16690975"/>
          <a:ext cx="152400" cy="152400"/>
        </a:xfrm>
        <a:prstGeom prst="rect">
          <a:avLst/>
        </a:prstGeom>
      </xdr:spPr>
    </xdr:pic>
    <xdr:clientData/>
  </xdr:oneCellAnchor>
  <xdr:oneCellAnchor>
    <xdr:from>
      <xdr:col>1</xdr:col>
      <xdr:colOff>63500</xdr:colOff>
      <xdr:row>93</xdr:row>
      <xdr:rowOff>12700</xdr:rowOff>
    </xdr:from>
    <xdr:ext cx="152400" cy="152400"/>
    <xdr:pic>
      <xdr:nvPicPr>
        <xdr:cNvPr id="91" name="image1.png">
          <a:extLst>
            <a:ext uri="{FF2B5EF4-FFF2-40B4-BE49-F238E27FC236}">
              <a16:creationId xmlns:a16="http://schemas.microsoft.com/office/drawing/2014/main" id="{6F84DB80-F55F-4298-8FF8-A1AA879CC15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5500" y="16862425"/>
          <a:ext cx="152400" cy="152400"/>
        </a:xfrm>
        <a:prstGeom prst="rect">
          <a:avLst/>
        </a:prstGeom>
      </xdr:spPr>
    </xdr:pic>
    <xdr:clientData/>
  </xdr:oneCellAnchor>
  <xdr:oneCellAnchor>
    <xdr:from>
      <xdr:col>1</xdr:col>
      <xdr:colOff>63500</xdr:colOff>
      <xdr:row>94</xdr:row>
      <xdr:rowOff>12700</xdr:rowOff>
    </xdr:from>
    <xdr:ext cx="152400" cy="152400"/>
    <xdr:pic>
      <xdr:nvPicPr>
        <xdr:cNvPr id="92" name="image1.png">
          <a:extLst>
            <a:ext uri="{FF2B5EF4-FFF2-40B4-BE49-F238E27FC236}">
              <a16:creationId xmlns:a16="http://schemas.microsoft.com/office/drawing/2014/main" id="{E5CFE238-2A86-4BBE-8FCF-53D3784B8D0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5500" y="17033875"/>
          <a:ext cx="152400" cy="152400"/>
        </a:xfrm>
        <a:prstGeom prst="rect">
          <a:avLst/>
        </a:prstGeom>
      </xdr:spPr>
    </xdr:pic>
    <xdr:clientData/>
  </xdr:oneCellAnchor>
  <xdr:oneCellAnchor>
    <xdr:from>
      <xdr:col>1</xdr:col>
      <xdr:colOff>63500</xdr:colOff>
      <xdr:row>95</xdr:row>
      <xdr:rowOff>12700</xdr:rowOff>
    </xdr:from>
    <xdr:ext cx="152400" cy="152400"/>
    <xdr:pic>
      <xdr:nvPicPr>
        <xdr:cNvPr id="93" name="image1.png">
          <a:extLst>
            <a:ext uri="{FF2B5EF4-FFF2-40B4-BE49-F238E27FC236}">
              <a16:creationId xmlns:a16="http://schemas.microsoft.com/office/drawing/2014/main" id="{2ABA7DD9-345C-4B96-AB2A-4F4E167211C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5500" y="17205325"/>
          <a:ext cx="152400" cy="152400"/>
        </a:xfrm>
        <a:prstGeom prst="rect">
          <a:avLst/>
        </a:prstGeom>
      </xdr:spPr>
    </xdr:pic>
    <xdr:clientData/>
  </xdr:oneCellAnchor>
  <xdr:oneCellAnchor>
    <xdr:from>
      <xdr:col>1</xdr:col>
      <xdr:colOff>63500</xdr:colOff>
      <xdr:row>96</xdr:row>
      <xdr:rowOff>12700</xdr:rowOff>
    </xdr:from>
    <xdr:ext cx="152400" cy="152400"/>
    <xdr:pic>
      <xdr:nvPicPr>
        <xdr:cNvPr id="94" name="image1.png">
          <a:extLst>
            <a:ext uri="{FF2B5EF4-FFF2-40B4-BE49-F238E27FC236}">
              <a16:creationId xmlns:a16="http://schemas.microsoft.com/office/drawing/2014/main" id="{F296AA5E-ADCE-4941-80D1-640CB0D266A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5500" y="17376775"/>
          <a:ext cx="152400" cy="152400"/>
        </a:xfrm>
        <a:prstGeom prst="rect">
          <a:avLst/>
        </a:prstGeom>
      </xdr:spPr>
    </xdr:pic>
    <xdr:clientData/>
  </xdr:oneCellAnchor>
  <xdr:oneCellAnchor>
    <xdr:from>
      <xdr:col>1</xdr:col>
      <xdr:colOff>63500</xdr:colOff>
      <xdr:row>97</xdr:row>
      <xdr:rowOff>12700</xdr:rowOff>
    </xdr:from>
    <xdr:ext cx="152400" cy="152400"/>
    <xdr:pic>
      <xdr:nvPicPr>
        <xdr:cNvPr id="95" name="image1.png">
          <a:extLst>
            <a:ext uri="{FF2B5EF4-FFF2-40B4-BE49-F238E27FC236}">
              <a16:creationId xmlns:a16="http://schemas.microsoft.com/office/drawing/2014/main" id="{C49DB4CF-2895-4489-A12D-C0770EF9778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5500" y="17548225"/>
          <a:ext cx="152400" cy="152400"/>
        </a:xfrm>
        <a:prstGeom prst="rect">
          <a:avLst/>
        </a:prstGeom>
      </xdr:spPr>
    </xdr:pic>
    <xdr:clientData/>
  </xdr:oneCellAnchor>
  <xdr:oneCellAnchor>
    <xdr:from>
      <xdr:col>1</xdr:col>
      <xdr:colOff>63500</xdr:colOff>
      <xdr:row>98</xdr:row>
      <xdr:rowOff>12700</xdr:rowOff>
    </xdr:from>
    <xdr:ext cx="152400" cy="152400"/>
    <xdr:pic>
      <xdr:nvPicPr>
        <xdr:cNvPr id="96" name="image1.png">
          <a:extLst>
            <a:ext uri="{FF2B5EF4-FFF2-40B4-BE49-F238E27FC236}">
              <a16:creationId xmlns:a16="http://schemas.microsoft.com/office/drawing/2014/main" id="{B8856A13-0020-4EF6-88CC-B21D85C1F32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5500" y="17719675"/>
          <a:ext cx="152400" cy="152400"/>
        </a:xfrm>
        <a:prstGeom prst="rect">
          <a:avLst/>
        </a:prstGeom>
      </xdr:spPr>
    </xdr:pic>
    <xdr:clientData/>
  </xdr:oneCellAnchor>
  <xdr:oneCellAnchor>
    <xdr:from>
      <xdr:col>1</xdr:col>
      <xdr:colOff>63500</xdr:colOff>
      <xdr:row>99</xdr:row>
      <xdr:rowOff>12700</xdr:rowOff>
    </xdr:from>
    <xdr:ext cx="152400" cy="152400"/>
    <xdr:pic>
      <xdr:nvPicPr>
        <xdr:cNvPr id="97" name="image1.png">
          <a:extLst>
            <a:ext uri="{FF2B5EF4-FFF2-40B4-BE49-F238E27FC236}">
              <a16:creationId xmlns:a16="http://schemas.microsoft.com/office/drawing/2014/main" id="{FE986BFE-7C6B-4E3C-9538-05FA526CF2A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5500" y="17891125"/>
          <a:ext cx="152400" cy="152400"/>
        </a:xfrm>
        <a:prstGeom prst="rect">
          <a:avLst/>
        </a:prstGeom>
      </xdr:spPr>
    </xdr:pic>
    <xdr:clientData/>
  </xdr:oneCellAnchor>
  <xdr:oneCellAnchor>
    <xdr:from>
      <xdr:col>1</xdr:col>
      <xdr:colOff>63500</xdr:colOff>
      <xdr:row>100</xdr:row>
      <xdr:rowOff>12700</xdr:rowOff>
    </xdr:from>
    <xdr:ext cx="152400" cy="152400"/>
    <xdr:pic>
      <xdr:nvPicPr>
        <xdr:cNvPr id="98" name="image1.png">
          <a:extLst>
            <a:ext uri="{FF2B5EF4-FFF2-40B4-BE49-F238E27FC236}">
              <a16:creationId xmlns:a16="http://schemas.microsoft.com/office/drawing/2014/main" id="{8A5D72F1-C10A-47C4-930E-D984C01E7D1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5500" y="18062575"/>
          <a:ext cx="152400" cy="152400"/>
        </a:xfrm>
        <a:prstGeom prst="rect">
          <a:avLst/>
        </a:prstGeom>
      </xdr:spPr>
    </xdr:pic>
    <xdr:clientData/>
  </xdr:oneCellAnchor>
  <xdr:oneCellAnchor>
    <xdr:from>
      <xdr:col>1</xdr:col>
      <xdr:colOff>63500</xdr:colOff>
      <xdr:row>101</xdr:row>
      <xdr:rowOff>12700</xdr:rowOff>
    </xdr:from>
    <xdr:ext cx="152400" cy="152400"/>
    <xdr:pic>
      <xdr:nvPicPr>
        <xdr:cNvPr id="99" name="image1.png">
          <a:extLst>
            <a:ext uri="{FF2B5EF4-FFF2-40B4-BE49-F238E27FC236}">
              <a16:creationId xmlns:a16="http://schemas.microsoft.com/office/drawing/2014/main" id="{B51F98FF-B309-4B4E-BC70-B5607F435CB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5500" y="18234025"/>
          <a:ext cx="152400" cy="152400"/>
        </a:xfrm>
        <a:prstGeom prst="rect">
          <a:avLst/>
        </a:prstGeom>
      </xdr:spPr>
    </xdr:pic>
    <xdr:clientData/>
  </xdr:oneCellAnchor>
  <xdr:oneCellAnchor>
    <xdr:from>
      <xdr:col>1</xdr:col>
      <xdr:colOff>63500</xdr:colOff>
      <xdr:row>102</xdr:row>
      <xdr:rowOff>12700</xdr:rowOff>
    </xdr:from>
    <xdr:ext cx="152400" cy="152400"/>
    <xdr:pic>
      <xdr:nvPicPr>
        <xdr:cNvPr id="100" name="image1.png">
          <a:extLst>
            <a:ext uri="{FF2B5EF4-FFF2-40B4-BE49-F238E27FC236}">
              <a16:creationId xmlns:a16="http://schemas.microsoft.com/office/drawing/2014/main" id="{5C0356C6-382E-408C-9751-5AAE6D321D5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5500" y="18405475"/>
          <a:ext cx="152400" cy="152400"/>
        </a:xfrm>
        <a:prstGeom prst="rect">
          <a:avLst/>
        </a:prstGeom>
      </xdr:spPr>
    </xdr:pic>
    <xdr:clientData/>
  </xdr:oneCellAnchor>
  <xdr:oneCellAnchor>
    <xdr:from>
      <xdr:col>1</xdr:col>
      <xdr:colOff>63500</xdr:colOff>
      <xdr:row>103</xdr:row>
      <xdr:rowOff>12700</xdr:rowOff>
    </xdr:from>
    <xdr:ext cx="152400" cy="152400"/>
    <xdr:pic>
      <xdr:nvPicPr>
        <xdr:cNvPr id="101" name="image1.png">
          <a:extLst>
            <a:ext uri="{FF2B5EF4-FFF2-40B4-BE49-F238E27FC236}">
              <a16:creationId xmlns:a16="http://schemas.microsoft.com/office/drawing/2014/main" id="{B1F8AED9-C37B-4ECA-A31A-74E436262BE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5500" y="18576925"/>
          <a:ext cx="152400" cy="152400"/>
        </a:xfrm>
        <a:prstGeom prst="rect">
          <a:avLst/>
        </a:prstGeom>
      </xdr:spPr>
    </xdr:pic>
    <xdr:clientData/>
  </xdr:oneCellAnchor>
  <xdr:oneCellAnchor>
    <xdr:from>
      <xdr:col>1</xdr:col>
      <xdr:colOff>63500</xdr:colOff>
      <xdr:row>104</xdr:row>
      <xdr:rowOff>12700</xdr:rowOff>
    </xdr:from>
    <xdr:ext cx="152400" cy="152400"/>
    <xdr:pic>
      <xdr:nvPicPr>
        <xdr:cNvPr id="102" name="image1.png">
          <a:extLst>
            <a:ext uri="{FF2B5EF4-FFF2-40B4-BE49-F238E27FC236}">
              <a16:creationId xmlns:a16="http://schemas.microsoft.com/office/drawing/2014/main" id="{AC7E0AAE-A426-418A-84D1-945E265ABF1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5500" y="18748375"/>
          <a:ext cx="152400" cy="152400"/>
        </a:xfrm>
        <a:prstGeom prst="rect">
          <a:avLst/>
        </a:prstGeom>
      </xdr:spPr>
    </xdr:pic>
    <xdr:clientData/>
  </xdr:oneCellAnchor>
  <xdr:oneCellAnchor>
    <xdr:from>
      <xdr:col>1</xdr:col>
      <xdr:colOff>63500</xdr:colOff>
      <xdr:row>105</xdr:row>
      <xdr:rowOff>12700</xdr:rowOff>
    </xdr:from>
    <xdr:ext cx="152400" cy="152400"/>
    <xdr:pic>
      <xdr:nvPicPr>
        <xdr:cNvPr id="103" name="image1.png">
          <a:extLst>
            <a:ext uri="{FF2B5EF4-FFF2-40B4-BE49-F238E27FC236}">
              <a16:creationId xmlns:a16="http://schemas.microsoft.com/office/drawing/2014/main" id="{67C14C42-3688-4C5C-90E3-AE6D9F5D804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5500" y="18919825"/>
          <a:ext cx="152400" cy="152400"/>
        </a:xfrm>
        <a:prstGeom prst="rect">
          <a:avLst/>
        </a:prstGeom>
      </xdr:spPr>
    </xdr:pic>
    <xdr:clientData/>
  </xdr:oneCellAnchor>
  <xdr:oneCellAnchor>
    <xdr:from>
      <xdr:col>1</xdr:col>
      <xdr:colOff>63500</xdr:colOff>
      <xdr:row>106</xdr:row>
      <xdr:rowOff>12700</xdr:rowOff>
    </xdr:from>
    <xdr:ext cx="152400" cy="152400"/>
    <xdr:pic>
      <xdr:nvPicPr>
        <xdr:cNvPr id="104" name="image1.png">
          <a:extLst>
            <a:ext uri="{FF2B5EF4-FFF2-40B4-BE49-F238E27FC236}">
              <a16:creationId xmlns:a16="http://schemas.microsoft.com/office/drawing/2014/main" id="{57BD4FA5-5F16-4264-A552-9BA13607CF2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5500" y="19091275"/>
          <a:ext cx="152400" cy="152400"/>
        </a:xfrm>
        <a:prstGeom prst="rect">
          <a:avLst/>
        </a:prstGeom>
      </xdr:spPr>
    </xdr:pic>
    <xdr:clientData/>
  </xdr:oneCellAnchor>
  <xdr:oneCellAnchor>
    <xdr:from>
      <xdr:col>1</xdr:col>
      <xdr:colOff>63500</xdr:colOff>
      <xdr:row>107</xdr:row>
      <xdr:rowOff>12700</xdr:rowOff>
    </xdr:from>
    <xdr:ext cx="152400" cy="152400"/>
    <xdr:pic>
      <xdr:nvPicPr>
        <xdr:cNvPr id="105" name="image1.png">
          <a:extLst>
            <a:ext uri="{FF2B5EF4-FFF2-40B4-BE49-F238E27FC236}">
              <a16:creationId xmlns:a16="http://schemas.microsoft.com/office/drawing/2014/main" id="{3CE62880-E7C3-4453-AFFD-22525D550CC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5500" y="19262725"/>
          <a:ext cx="152400" cy="152400"/>
        </a:xfrm>
        <a:prstGeom prst="rect">
          <a:avLst/>
        </a:prstGeom>
      </xdr:spPr>
    </xdr:pic>
    <xdr:clientData/>
  </xdr:oneCellAnchor>
  <xdr:oneCellAnchor>
    <xdr:from>
      <xdr:col>1</xdr:col>
      <xdr:colOff>63500</xdr:colOff>
      <xdr:row>108</xdr:row>
      <xdr:rowOff>12700</xdr:rowOff>
    </xdr:from>
    <xdr:ext cx="152400" cy="152400"/>
    <xdr:pic>
      <xdr:nvPicPr>
        <xdr:cNvPr id="106" name="image1.png">
          <a:extLst>
            <a:ext uri="{FF2B5EF4-FFF2-40B4-BE49-F238E27FC236}">
              <a16:creationId xmlns:a16="http://schemas.microsoft.com/office/drawing/2014/main" id="{B1EC0884-E93E-4C76-BACB-67FD41B6EFE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5500" y="19434175"/>
          <a:ext cx="152400" cy="152400"/>
        </a:xfrm>
        <a:prstGeom prst="rect">
          <a:avLst/>
        </a:prstGeom>
      </xdr:spPr>
    </xdr:pic>
    <xdr:clientData/>
  </xdr:oneCellAnchor>
  <xdr:oneCellAnchor>
    <xdr:from>
      <xdr:col>1</xdr:col>
      <xdr:colOff>63500</xdr:colOff>
      <xdr:row>109</xdr:row>
      <xdr:rowOff>12700</xdr:rowOff>
    </xdr:from>
    <xdr:ext cx="152400" cy="152400"/>
    <xdr:pic>
      <xdr:nvPicPr>
        <xdr:cNvPr id="107" name="image1.png">
          <a:extLst>
            <a:ext uri="{FF2B5EF4-FFF2-40B4-BE49-F238E27FC236}">
              <a16:creationId xmlns:a16="http://schemas.microsoft.com/office/drawing/2014/main" id="{898EB8F7-EC3C-4CB7-81D6-BA3D85009B2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5500" y="19605625"/>
          <a:ext cx="152400" cy="152400"/>
        </a:xfrm>
        <a:prstGeom prst="rect">
          <a:avLst/>
        </a:prstGeom>
      </xdr:spPr>
    </xdr:pic>
    <xdr:clientData/>
  </xdr:oneCellAnchor>
  <xdr:oneCellAnchor>
    <xdr:from>
      <xdr:col>1</xdr:col>
      <xdr:colOff>63500</xdr:colOff>
      <xdr:row>110</xdr:row>
      <xdr:rowOff>12700</xdr:rowOff>
    </xdr:from>
    <xdr:ext cx="152400" cy="152400"/>
    <xdr:pic>
      <xdr:nvPicPr>
        <xdr:cNvPr id="108" name="image1.png">
          <a:extLst>
            <a:ext uri="{FF2B5EF4-FFF2-40B4-BE49-F238E27FC236}">
              <a16:creationId xmlns:a16="http://schemas.microsoft.com/office/drawing/2014/main" id="{63400C2A-105C-41AE-85F2-9CD6ED1E652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5500" y="19777075"/>
          <a:ext cx="152400" cy="152400"/>
        </a:xfrm>
        <a:prstGeom prst="rect">
          <a:avLst/>
        </a:prstGeom>
      </xdr:spPr>
    </xdr:pic>
    <xdr:clientData/>
  </xdr:oneCellAnchor>
  <xdr:oneCellAnchor>
    <xdr:from>
      <xdr:col>1</xdr:col>
      <xdr:colOff>63500</xdr:colOff>
      <xdr:row>111</xdr:row>
      <xdr:rowOff>12700</xdr:rowOff>
    </xdr:from>
    <xdr:ext cx="152400" cy="152400"/>
    <xdr:pic>
      <xdr:nvPicPr>
        <xdr:cNvPr id="109" name="image1.png">
          <a:extLst>
            <a:ext uri="{FF2B5EF4-FFF2-40B4-BE49-F238E27FC236}">
              <a16:creationId xmlns:a16="http://schemas.microsoft.com/office/drawing/2014/main" id="{15734483-C429-42E7-882A-629C94D61FD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5500" y="19948525"/>
          <a:ext cx="152400" cy="152400"/>
        </a:xfrm>
        <a:prstGeom prst="rect">
          <a:avLst/>
        </a:prstGeom>
      </xdr:spPr>
    </xdr:pic>
    <xdr:clientData/>
  </xdr:oneCellAnchor>
  <xdr:oneCellAnchor>
    <xdr:from>
      <xdr:col>1</xdr:col>
      <xdr:colOff>63500</xdr:colOff>
      <xdr:row>112</xdr:row>
      <xdr:rowOff>12700</xdr:rowOff>
    </xdr:from>
    <xdr:ext cx="152400" cy="152400"/>
    <xdr:pic>
      <xdr:nvPicPr>
        <xdr:cNvPr id="110" name="image1.png">
          <a:extLst>
            <a:ext uri="{FF2B5EF4-FFF2-40B4-BE49-F238E27FC236}">
              <a16:creationId xmlns:a16="http://schemas.microsoft.com/office/drawing/2014/main" id="{41E1F84A-635C-48BE-B48C-E48AD2D4748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5500" y="20119975"/>
          <a:ext cx="152400" cy="152400"/>
        </a:xfrm>
        <a:prstGeom prst="rect">
          <a:avLst/>
        </a:prstGeom>
      </xdr:spPr>
    </xdr:pic>
    <xdr:clientData/>
  </xdr:oneCellAnchor>
  <xdr:oneCellAnchor>
    <xdr:from>
      <xdr:col>1</xdr:col>
      <xdr:colOff>63500</xdr:colOff>
      <xdr:row>113</xdr:row>
      <xdr:rowOff>12700</xdr:rowOff>
    </xdr:from>
    <xdr:ext cx="152400" cy="152400"/>
    <xdr:pic>
      <xdr:nvPicPr>
        <xdr:cNvPr id="111" name="image1.png">
          <a:extLst>
            <a:ext uri="{FF2B5EF4-FFF2-40B4-BE49-F238E27FC236}">
              <a16:creationId xmlns:a16="http://schemas.microsoft.com/office/drawing/2014/main" id="{19638A12-5346-42D5-AC7F-1323E739BBC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5500" y="20291425"/>
          <a:ext cx="152400" cy="152400"/>
        </a:xfrm>
        <a:prstGeom prst="rect">
          <a:avLst/>
        </a:prstGeom>
      </xdr:spPr>
    </xdr:pic>
    <xdr:clientData/>
  </xdr:oneCellAnchor>
  <xdr:oneCellAnchor>
    <xdr:from>
      <xdr:col>1</xdr:col>
      <xdr:colOff>63500</xdr:colOff>
      <xdr:row>114</xdr:row>
      <xdr:rowOff>12700</xdr:rowOff>
    </xdr:from>
    <xdr:ext cx="152400" cy="152400"/>
    <xdr:pic>
      <xdr:nvPicPr>
        <xdr:cNvPr id="112" name="image1.png">
          <a:extLst>
            <a:ext uri="{FF2B5EF4-FFF2-40B4-BE49-F238E27FC236}">
              <a16:creationId xmlns:a16="http://schemas.microsoft.com/office/drawing/2014/main" id="{0DACF038-BD24-476D-9A1C-A914E7792C9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5500" y="20462875"/>
          <a:ext cx="152400" cy="152400"/>
        </a:xfrm>
        <a:prstGeom prst="rect">
          <a:avLst/>
        </a:prstGeom>
      </xdr:spPr>
    </xdr:pic>
    <xdr:clientData/>
  </xdr:oneCellAnchor>
  <xdr:oneCellAnchor>
    <xdr:from>
      <xdr:col>1</xdr:col>
      <xdr:colOff>63500</xdr:colOff>
      <xdr:row>115</xdr:row>
      <xdr:rowOff>12700</xdr:rowOff>
    </xdr:from>
    <xdr:ext cx="152400" cy="152400"/>
    <xdr:pic>
      <xdr:nvPicPr>
        <xdr:cNvPr id="113" name="image1.png">
          <a:extLst>
            <a:ext uri="{FF2B5EF4-FFF2-40B4-BE49-F238E27FC236}">
              <a16:creationId xmlns:a16="http://schemas.microsoft.com/office/drawing/2014/main" id="{00D08FA7-1208-44AB-BFE4-A0948407D88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5500" y="20634325"/>
          <a:ext cx="152400" cy="152400"/>
        </a:xfrm>
        <a:prstGeom prst="rect">
          <a:avLst/>
        </a:prstGeom>
      </xdr:spPr>
    </xdr:pic>
    <xdr:clientData/>
  </xdr:oneCellAnchor>
  <xdr:oneCellAnchor>
    <xdr:from>
      <xdr:col>1</xdr:col>
      <xdr:colOff>63500</xdr:colOff>
      <xdr:row>116</xdr:row>
      <xdr:rowOff>12700</xdr:rowOff>
    </xdr:from>
    <xdr:ext cx="152400" cy="152400"/>
    <xdr:pic>
      <xdr:nvPicPr>
        <xdr:cNvPr id="114" name="image1.png">
          <a:extLst>
            <a:ext uri="{FF2B5EF4-FFF2-40B4-BE49-F238E27FC236}">
              <a16:creationId xmlns:a16="http://schemas.microsoft.com/office/drawing/2014/main" id="{202E650B-B784-401A-B276-DD0502C4710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5500" y="20805775"/>
          <a:ext cx="152400" cy="152400"/>
        </a:xfrm>
        <a:prstGeom prst="rect">
          <a:avLst/>
        </a:prstGeom>
      </xdr:spPr>
    </xdr:pic>
    <xdr:clientData/>
  </xdr:oneCellAnchor>
  <xdr:oneCellAnchor>
    <xdr:from>
      <xdr:col>1</xdr:col>
      <xdr:colOff>63500</xdr:colOff>
      <xdr:row>117</xdr:row>
      <xdr:rowOff>12700</xdr:rowOff>
    </xdr:from>
    <xdr:ext cx="152400" cy="152400"/>
    <xdr:pic>
      <xdr:nvPicPr>
        <xdr:cNvPr id="115" name="image1.png">
          <a:extLst>
            <a:ext uri="{FF2B5EF4-FFF2-40B4-BE49-F238E27FC236}">
              <a16:creationId xmlns:a16="http://schemas.microsoft.com/office/drawing/2014/main" id="{2C0C018D-2CD1-4AF8-87D5-8ADFAFE17BB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5500" y="20977225"/>
          <a:ext cx="152400" cy="152400"/>
        </a:xfrm>
        <a:prstGeom prst="rect">
          <a:avLst/>
        </a:prstGeom>
      </xdr:spPr>
    </xdr:pic>
    <xdr:clientData/>
  </xdr:oneCellAnchor>
  <xdr:oneCellAnchor>
    <xdr:from>
      <xdr:col>1</xdr:col>
      <xdr:colOff>63500</xdr:colOff>
      <xdr:row>118</xdr:row>
      <xdr:rowOff>12700</xdr:rowOff>
    </xdr:from>
    <xdr:ext cx="152400" cy="152400"/>
    <xdr:pic>
      <xdr:nvPicPr>
        <xdr:cNvPr id="116" name="image1.png">
          <a:extLst>
            <a:ext uri="{FF2B5EF4-FFF2-40B4-BE49-F238E27FC236}">
              <a16:creationId xmlns:a16="http://schemas.microsoft.com/office/drawing/2014/main" id="{DCDF07F2-718C-4170-B72B-0831496A9AC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5500" y="21148675"/>
          <a:ext cx="152400" cy="152400"/>
        </a:xfrm>
        <a:prstGeom prst="rect">
          <a:avLst/>
        </a:prstGeom>
      </xdr:spPr>
    </xdr:pic>
    <xdr:clientData/>
  </xdr:oneCellAnchor>
  <xdr:oneCellAnchor>
    <xdr:from>
      <xdr:col>1</xdr:col>
      <xdr:colOff>63500</xdr:colOff>
      <xdr:row>119</xdr:row>
      <xdr:rowOff>12700</xdr:rowOff>
    </xdr:from>
    <xdr:ext cx="152400" cy="152400"/>
    <xdr:pic>
      <xdr:nvPicPr>
        <xdr:cNvPr id="117" name="image1.png">
          <a:extLst>
            <a:ext uri="{FF2B5EF4-FFF2-40B4-BE49-F238E27FC236}">
              <a16:creationId xmlns:a16="http://schemas.microsoft.com/office/drawing/2014/main" id="{268F749B-7D14-4432-8C35-65908C6A273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5500" y="21320125"/>
          <a:ext cx="152400" cy="152400"/>
        </a:xfrm>
        <a:prstGeom prst="rect">
          <a:avLst/>
        </a:prstGeom>
      </xdr:spPr>
    </xdr:pic>
    <xdr:clientData/>
  </xdr:oneCellAnchor>
  <xdr:oneCellAnchor>
    <xdr:from>
      <xdr:col>1</xdr:col>
      <xdr:colOff>63500</xdr:colOff>
      <xdr:row>120</xdr:row>
      <xdr:rowOff>12700</xdr:rowOff>
    </xdr:from>
    <xdr:ext cx="152400" cy="152400"/>
    <xdr:pic>
      <xdr:nvPicPr>
        <xdr:cNvPr id="118" name="image1.png">
          <a:extLst>
            <a:ext uri="{FF2B5EF4-FFF2-40B4-BE49-F238E27FC236}">
              <a16:creationId xmlns:a16="http://schemas.microsoft.com/office/drawing/2014/main" id="{8E8C5F96-4D88-4F4A-93F8-59D2F29A75B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5500" y="21491575"/>
          <a:ext cx="152400" cy="152400"/>
        </a:xfrm>
        <a:prstGeom prst="rect">
          <a:avLst/>
        </a:prstGeom>
      </xdr:spPr>
    </xdr:pic>
    <xdr:clientData/>
  </xdr:oneCellAnchor>
  <xdr:oneCellAnchor>
    <xdr:from>
      <xdr:col>1</xdr:col>
      <xdr:colOff>63500</xdr:colOff>
      <xdr:row>121</xdr:row>
      <xdr:rowOff>12700</xdr:rowOff>
    </xdr:from>
    <xdr:ext cx="152400" cy="152400"/>
    <xdr:pic>
      <xdr:nvPicPr>
        <xdr:cNvPr id="119" name="image1.png">
          <a:extLst>
            <a:ext uri="{FF2B5EF4-FFF2-40B4-BE49-F238E27FC236}">
              <a16:creationId xmlns:a16="http://schemas.microsoft.com/office/drawing/2014/main" id="{48DE2909-C9B4-4FB7-B660-C5D1D5A8D42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5500" y="21663025"/>
          <a:ext cx="152400" cy="152400"/>
        </a:xfrm>
        <a:prstGeom prst="rect">
          <a:avLst/>
        </a:prstGeom>
      </xdr:spPr>
    </xdr:pic>
    <xdr:clientData/>
  </xdr:oneCellAnchor>
  <xdr:oneCellAnchor>
    <xdr:from>
      <xdr:col>1</xdr:col>
      <xdr:colOff>63500</xdr:colOff>
      <xdr:row>122</xdr:row>
      <xdr:rowOff>12700</xdr:rowOff>
    </xdr:from>
    <xdr:ext cx="152400" cy="152400"/>
    <xdr:pic>
      <xdr:nvPicPr>
        <xdr:cNvPr id="120" name="image1.png">
          <a:extLst>
            <a:ext uri="{FF2B5EF4-FFF2-40B4-BE49-F238E27FC236}">
              <a16:creationId xmlns:a16="http://schemas.microsoft.com/office/drawing/2014/main" id="{D1A16808-C407-434F-A7CD-419A76F2A3E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5500" y="21834475"/>
          <a:ext cx="152400" cy="152400"/>
        </a:xfrm>
        <a:prstGeom prst="rect">
          <a:avLst/>
        </a:prstGeom>
      </xdr:spPr>
    </xdr:pic>
    <xdr:clientData/>
  </xdr:oneCellAnchor>
  <xdr:oneCellAnchor>
    <xdr:from>
      <xdr:col>1</xdr:col>
      <xdr:colOff>63500</xdr:colOff>
      <xdr:row>123</xdr:row>
      <xdr:rowOff>12700</xdr:rowOff>
    </xdr:from>
    <xdr:ext cx="152400" cy="152400"/>
    <xdr:pic>
      <xdr:nvPicPr>
        <xdr:cNvPr id="121" name="image1.png">
          <a:extLst>
            <a:ext uri="{FF2B5EF4-FFF2-40B4-BE49-F238E27FC236}">
              <a16:creationId xmlns:a16="http://schemas.microsoft.com/office/drawing/2014/main" id="{10C96DFC-4379-477C-B2A8-3F6BC3F261A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5500" y="22005925"/>
          <a:ext cx="152400" cy="152400"/>
        </a:xfrm>
        <a:prstGeom prst="rect">
          <a:avLst/>
        </a:prstGeom>
      </xdr:spPr>
    </xdr:pic>
    <xdr:clientData/>
  </xdr:oneCellAnchor>
  <xdr:oneCellAnchor>
    <xdr:from>
      <xdr:col>1</xdr:col>
      <xdr:colOff>63500</xdr:colOff>
      <xdr:row>124</xdr:row>
      <xdr:rowOff>12700</xdr:rowOff>
    </xdr:from>
    <xdr:ext cx="152400" cy="152400"/>
    <xdr:pic>
      <xdr:nvPicPr>
        <xdr:cNvPr id="122" name="image1.png">
          <a:extLst>
            <a:ext uri="{FF2B5EF4-FFF2-40B4-BE49-F238E27FC236}">
              <a16:creationId xmlns:a16="http://schemas.microsoft.com/office/drawing/2014/main" id="{D25333E0-7BC1-427B-9139-0DAE9939D7B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5500" y="22177375"/>
          <a:ext cx="152400" cy="152400"/>
        </a:xfrm>
        <a:prstGeom prst="rect">
          <a:avLst/>
        </a:prstGeom>
      </xdr:spPr>
    </xdr:pic>
    <xdr:clientData/>
  </xdr:oneCellAnchor>
  <xdr:oneCellAnchor>
    <xdr:from>
      <xdr:col>1</xdr:col>
      <xdr:colOff>63500</xdr:colOff>
      <xdr:row>125</xdr:row>
      <xdr:rowOff>12700</xdr:rowOff>
    </xdr:from>
    <xdr:ext cx="152400" cy="152400"/>
    <xdr:pic>
      <xdr:nvPicPr>
        <xdr:cNvPr id="123" name="image1.png">
          <a:extLst>
            <a:ext uri="{FF2B5EF4-FFF2-40B4-BE49-F238E27FC236}">
              <a16:creationId xmlns:a16="http://schemas.microsoft.com/office/drawing/2014/main" id="{5A299729-95EE-4EED-8F11-86540B8A76D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5500" y="22348825"/>
          <a:ext cx="152400" cy="152400"/>
        </a:xfrm>
        <a:prstGeom prst="rect">
          <a:avLst/>
        </a:prstGeom>
      </xdr:spPr>
    </xdr:pic>
    <xdr:clientData/>
  </xdr:oneCellAnchor>
  <xdr:oneCellAnchor>
    <xdr:from>
      <xdr:col>1</xdr:col>
      <xdr:colOff>63500</xdr:colOff>
      <xdr:row>126</xdr:row>
      <xdr:rowOff>12700</xdr:rowOff>
    </xdr:from>
    <xdr:ext cx="152400" cy="152400"/>
    <xdr:pic>
      <xdr:nvPicPr>
        <xdr:cNvPr id="124" name="image1.png">
          <a:extLst>
            <a:ext uri="{FF2B5EF4-FFF2-40B4-BE49-F238E27FC236}">
              <a16:creationId xmlns:a16="http://schemas.microsoft.com/office/drawing/2014/main" id="{1C7CA7D2-8530-4340-8AA1-5308AC294CD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5500" y="22520275"/>
          <a:ext cx="152400" cy="152400"/>
        </a:xfrm>
        <a:prstGeom prst="rect">
          <a:avLst/>
        </a:prstGeom>
      </xdr:spPr>
    </xdr:pic>
    <xdr:clientData/>
  </xdr:oneCellAnchor>
  <xdr:oneCellAnchor>
    <xdr:from>
      <xdr:col>1</xdr:col>
      <xdr:colOff>63500</xdr:colOff>
      <xdr:row>127</xdr:row>
      <xdr:rowOff>12700</xdr:rowOff>
    </xdr:from>
    <xdr:ext cx="152400" cy="152400"/>
    <xdr:pic>
      <xdr:nvPicPr>
        <xdr:cNvPr id="125" name="image1.png">
          <a:extLst>
            <a:ext uri="{FF2B5EF4-FFF2-40B4-BE49-F238E27FC236}">
              <a16:creationId xmlns:a16="http://schemas.microsoft.com/office/drawing/2014/main" id="{3DA77A62-4E5D-46B5-8C88-237A464D70D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5500" y="22691725"/>
          <a:ext cx="152400" cy="152400"/>
        </a:xfrm>
        <a:prstGeom prst="rect">
          <a:avLst/>
        </a:prstGeom>
      </xdr:spPr>
    </xdr:pic>
    <xdr:clientData/>
  </xdr:oneCellAnchor>
  <xdr:oneCellAnchor>
    <xdr:from>
      <xdr:col>1</xdr:col>
      <xdr:colOff>63500</xdr:colOff>
      <xdr:row>128</xdr:row>
      <xdr:rowOff>12700</xdr:rowOff>
    </xdr:from>
    <xdr:ext cx="152400" cy="152400"/>
    <xdr:pic>
      <xdr:nvPicPr>
        <xdr:cNvPr id="126" name="image1.png">
          <a:extLst>
            <a:ext uri="{FF2B5EF4-FFF2-40B4-BE49-F238E27FC236}">
              <a16:creationId xmlns:a16="http://schemas.microsoft.com/office/drawing/2014/main" id="{9DFB4866-1758-4C1C-AEE4-DE21354B00E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5500" y="22863175"/>
          <a:ext cx="152400" cy="152400"/>
        </a:xfrm>
        <a:prstGeom prst="rect">
          <a:avLst/>
        </a:prstGeom>
      </xdr:spPr>
    </xdr:pic>
    <xdr:clientData/>
  </xdr:oneCellAnchor>
  <xdr:oneCellAnchor>
    <xdr:from>
      <xdr:col>1</xdr:col>
      <xdr:colOff>63500</xdr:colOff>
      <xdr:row>129</xdr:row>
      <xdr:rowOff>12700</xdr:rowOff>
    </xdr:from>
    <xdr:ext cx="152400" cy="152400"/>
    <xdr:pic>
      <xdr:nvPicPr>
        <xdr:cNvPr id="127" name="image1.png">
          <a:extLst>
            <a:ext uri="{FF2B5EF4-FFF2-40B4-BE49-F238E27FC236}">
              <a16:creationId xmlns:a16="http://schemas.microsoft.com/office/drawing/2014/main" id="{E96902CB-C5E3-4D85-9E14-A1F1EF40064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5500" y="23034625"/>
          <a:ext cx="152400" cy="152400"/>
        </a:xfrm>
        <a:prstGeom prst="rect">
          <a:avLst/>
        </a:prstGeom>
      </xdr:spPr>
    </xdr:pic>
    <xdr:clientData/>
  </xdr:oneCellAnchor>
  <xdr:oneCellAnchor>
    <xdr:from>
      <xdr:col>1</xdr:col>
      <xdr:colOff>63500</xdr:colOff>
      <xdr:row>130</xdr:row>
      <xdr:rowOff>12700</xdr:rowOff>
    </xdr:from>
    <xdr:ext cx="152400" cy="152400"/>
    <xdr:pic>
      <xdr:nvPicPr>
        <xdr:cNvPr id="128" name="image1.png">
          <a:extLst>
            <a:ext uri="{FF2B5EF4-FFF2-40B4-BE49-F238E27FC236}">
              <a16:creationId xmlns:a16="http://schemas.microsoft.com/office/drawing/2014/main" id="{6D6FB2E8-03F6-4C31-A406-98CF1CA9A80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5500" y="23206075"/>
          <a:ext cx="152400" cy="152400"/>
        </a:xfrm>
        <a:prstGeom prst="rect">
          <a:avLst/>
        </a:prstGeom>
      </xdr:spPr>
    </xdr:pic>
    <xdr:clientData/>
  </xdr:oneCellAnchor>
  <xdr:oneCellAnchor>
    <xdr:from>
      <xdr:col>1</xdr:col>
      <xdr:colOff>63500</xdr:colOff>
      <xdr:row>131</xdr:row>
      <xdr:rowOff>12700</xdr:rowOff>
    </xdr:from>
    <xdr:ext cx="152400" cy="152400"/>
    <xdr:pic>
      <xdr:nvPicPr>
        <xdr:cNvPr id="129" name="image1.png">
          <a:extLst>
            <a:ext uri="{FF2B5EF4-FFF2-40B4-BE49-F238E27FC236}">
              <a16:creationId xmlns:a16="http://schemas.microsoft.com/office/drawing/2014/main" id="{3489860C-C662-47A6-9449-B7E34731CC5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5500" y="23377525"/>
          <a:ext cx="152400" cy="152400"/>
        </a:xfrm>
        <a:prstGeom prst="rect">
          <a:avLst/>
        </a:prstGeom>
      </xdr:spPr>
    </xdr:pic>
    <xdr:clientData/>
  </xdr:oneCellAnchor>
  <xdr:oneCellAnchor>
    <xdr:from>
      <xdr:col>1</xdr:col>
      <xdr:colOff>63500</xdr:colOff>
      <xdr:row>132</xdr:row>
      <xdr:rowOff>12700</xdr:rowOff>
    </xdr:from>
    <xdr:ext cx="152400" cy="152400"/>
    <xdr:pic>
      <xdr:nvPicPr>
        <xdr:cNvPr id="130" name="image1.png">
          <a:extLst>
            <a:ext uri="{FF2B5EF4-FFF2-40B4-BE49-F238E27FC236}">
              <a16:creationId xmlns:a16="http://schemas.microsoft.com/office/drawing/2014/main" id="{17EB05E1-6DAC-4C0E-B341-10CB2629A90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5500" y="23548975"/>
          <a:ext cx="152400" cy="152400"/>
        </a:xfrm>
        <a:prstGeom prst="rect">
          <a:avLst/>
        </a:prstGeom>
      </xdr:spPr>
    </xdr:pic>
    <xdr:clientData/>
  </xdr:oneCellAnchor>
  <xdr:oneCellAnchor>
    <xdr:from>
      <xdr:col>1</xdr:col>
      <xdr:colOff>63500</xdr:colOff>
      <xdr:row>133</xdr:row>
      <xdr:rowOff>12700</xdr:rowOff>
    </xdr:from>
    <xdr:ext cx="152400" cy="152400"/>
    <xdr:pic>
      <xdr:nvPicPr>
        <xdr:cNvPr id="131" name="image1.png">
          <a:extLst>
            <a:ext uri="{FF2B5EF4-FFF2-40B4-BE49-F238E27FC236}">
              <a16:creationId xmlns:a16="http://schemas.microsoft.com/office/drawing/2014/main" id="{FD047B11-DF70-4185-A237-6A092E93F35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5500" y="23720425"/>
          <a:ext cx="152400" cy="152400"/>
        </a:xfrm>
        <a:prstGeom prst="rect">
          <a:avLst/>
        </a:prstGeom>
      </xdr:spPr>
    </xdr:pic>
    <xdr:clientData/>
  </xdr:oneCellAnchor>
  <xdr:oneCellAnchor>
    <xdr:from>
      <xdr:col>1</xdr:col>
      <xdr:colOff>63500</xdr:colOff>
      <xdr:row>134</xdr:row>
      <xdr:rowOff>12700</xdr:rowOff>
    </xdr:from>
    <xdr:ext cx="152400" cy="152400"/>
    <xdr:pic>
      <xdr:nvPicPr>
        <xdr:cNvPr id="132" name="image1.png">
          <a:extLst>
            <a:ext uri="{FF2B5EF4-FFF2-40B4-BE49-F238E27FC236}">
              <a16:creationId xmlns:a16="http://schemas.microsoft.com/office/drawing/2014/main" id="{CAF51075-9A84-4F5F-BBFC-55C07FADA16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5500" y="23891875"/>
          <a:ext cx="152400" cy="152400"/>
        </a:xfrm>
        <a:prstGeom prst="rect">
          <a:avLst/>
        </a:prstGeom>
      </xdr:spPr>
    </xdr:pic>
    <xdr:clientData/>
  </xdr:oneCellAnchor>
  <xdr:oneCellAnchor>
    <xdr:from>
      <xdr:col>1</xdr:col>
      <xdr:colOff>63500</xdr:colOff>
      <xdr:row>135</xdr:row>
      <xdr:rowOff>12700</xdr:rowOff>
    </xdr:from>
    <xdr:ext cx="152400" cy="152400"/>
    <xdr:pic>
      <xdr:nvPicPr>
        <xdr:cNvPr id="133" name="image1.png">
          <a:extLst>
            <a:ext uri="{FF2B5EF4-FFF2-40B4-BE49-F238E27FC236}">
              <a16:creationId xmlns:a16="http://schemas.microsoft.com/office/drawing/2014/main" id="{07B3F3F9-3F9D-4D05-9E5B-C8387E94231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5500" y="24063325"/>
          <a:ext cx="152400" cy="152400"/>
        </a:xfrm>
        <a:prstGeom prst="rect">
          <a:avLst/>
        </a:prstGeom>
      </xdr:spPr>
    </xdr:pic>
    <xdr:clientData/>
  </xdr:oneCellAnchor>
  <xdr:oneCellAnchor>
    <xdr:from>
      <xdr:col>1</xdr:col>
      <xdr:colOff>63500</xdr:colOff>
      <xdr:row>136</xdr:row>
      <xdr:rowOff>12700</xdr:rowOff>
    </xdr:from>
    <xdr:ext cx="152400" cy="152400"/>
    <xdr:pic>
      <xdr:nvPicPr>
        <xdr:cNvPr id="134" name="image1.png">
          <a:extLst>
            <a:ext uri="{FF2B5EF4-FFF2-40B4-BE49-F238E27FC236}">
              <a16:creationId xmlns:a16="http://schemas.microsoft.com/office/drawing/2014/main" id="{18CE7226-D770-4B34-AB42-6595E1B4A1F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5500" y="24234775"/>
          <a:ext cx="152400" cy="152400"/>
        </a:xfrm>
        <a:prstGeom prst="rect">
          <a:avLst/>
        </a:prstGeom>
      </xdr:spPr>
    </xdr:pic>
    <xdr:clientData/>
  </xdr:oneCellAnchor>
  <xdr:oneCellAnchor>
    <xdr:from>
      <xdr:col>1</xdr:col>
      <xdr:colOff>63500</xdr:colOff>
      <xdr:row>137</xdr:row>
      <xdr:rowOff>12700</xdr:rowOff>
    </xdr:from>
    <xdr:ext cx="152400" cy="152400"/>
    <xdr:pic>
      <xdr:nvPicPr>
        <xdr:cNvPr id="135" name="image1.png">
          <a:extLst>
            <a:ext uri="{FF2B5EF4-FFF2-40B4-BE49-F238E27FC236}">
              <a16:creationId xmlns:a16="http://schemas.microsoft.com/office/drawing/2014/main" id="{53108E59-62CC-4615-A73B-BD1D55CDDA3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5500" y="24406225"/>
          <a:ext cx="152400" cy="152400"/>
        </a:xfrm>
        <a:prstGeom prst="rect">
          <a:avLst/>
        </a:prstGeom>
      </xdr:spPr>
    </xdr:pic>
    <xdr:clientData/>
  </xdr:oneCellAnchor>
  <xdr:oneCellAnchor>
    <xdr:from>
      <xdr:col>1</xdr:col>
      <xdr:colOff>63500</xdr:colOff>
      <xdr:row>138</xdr:row>
      <xdr:rowOff>12700</xdr:rowOff>
    </xdr:from>
    <xdr:ext cx="152400" cy="152400"/>
    <xdr:pic>
      <xdr:nvPicPr>
        <xdr:cNvPr id="136" name="image1.png">
          <a:extLst>
            <a:ext uri="{FF2B5EF4-FFF2-40B4-BE49-F238E27FC236}">
              <a16:creationId xmlns:a16="http://schemas.microsoft.com/office/drawing/2014/main" id="{1D73E4CB-C99A-47F0-8140-7D5019A2638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5500" y="24577675"/>
          <a:ext cx="152400" cy="152400"/>
        </a:xfrm>
        <a:prstGeom prst="rect">
          <a:avLst/>
        </a:prstGeom>
      </xdr:spPr>
    </xdr:pic>
    <xdr:clientData/>
  </xdr:oneCellAnchor>
  <xdr:oneCellAnchor>
    <xdr:from>
      <xdr:col>1</xdr:col>
      <xdr:colOff>63500</xdr:colOff>
      <xdr:row>139</xdr:row>
      <xdr:rowOff>12700</xdr:rowOff>
    </xdr:from>
    <xdr:ext cx="152400" cy="152400"/>
    <xdr:pic>
      <xdr:nvPicPr>
        <xdr:cNvPr id="137" name="image1.png">
          <a:extLst>
            <a:ext uri="{FF2B5EF4-FFF2-40B4-BE49-F238E27FC236}">
              <a16:creationId xmlns:a16="http://schemas.microsoft.com/office/drawing/2014/main" id="{9BCE5A0E-1011-46AC-A226-D5839C3B9FC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5500" y="24749125"/>
          <a:ext cx="152400" cy="152400"/>
        </a:xfrm>
        <a:prstGeom prst="rect">
          <a:avLst/>
        </a:prstGeom>
      </xdr:spPr>
    </xdr:pic>
    <xdr:clientData/>
  </xdr:oneCellAnchor>
  <xdr:oneCellAnchor>
    <xdr:from>
      <xdr:col>1</xdr:col>
      <xdr:colOff>63500</xdr:colOff>
      <xdr:row>140</xdr:row>
      <xdr:rowOff>12700</xdr:rowOff>
    </xdr:from>
    <xdr:ext cx="152400" cy="152400"/>
    <xdr:pic>
      <xdr:nvPicPr>
        <xdr:cNvPr id="138" name="image1.png">
          <a:extLst>
            <a:ext uri="{FF2B5EF4-FFF2-40B4-BE49-F238E27FC236}">
              <a16:creationId xmlns:a16="http://schemas.microsoft.com/office/drawing/2014/main" id="{D4C1FC7C-22AC-431E-9A38-C90A3E9D2E7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5500" y="24920575"/>
          <a:ext cx="152400" cy="152400"/>
        </a:xfrm>
        <a:prstGeom prst="rect">
          <a:avLst/>
        </a:prstGeom>
      </xdr:spPr>
    </xdr:pic>
    <xdr:clientData/>
  </xdr:oneCellAnchor>
  <xdr:oneCellAnchor>
    <xdr:from>
      <xdr:col>1</xdr:col>
      <xdr:colOff>63500</xdr:colOff>
      <xdr:row>141</xdr:row>
      <xdr:rowOff>12700</xdr:rowOff>
    </xdr:from>
    <xdr:ext cx="152400" cy="152400"/>
    <xdr:pic>
      <xdr:nvPicPr>
        <xdr:cNvPr id="139" name="image1.png">
          <a:extLst>
            <a:ext uri="{FF2B5EF4-FFF2-40B4-BE49-F238E27FC236}">
              <a16:creationId xmlns:a16="http://schemas.microsoft.com/office/drawing/2014/main" id="{CCDFD995-BFE0-4707-84A8-8B83408D62D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5500" y="25092025"/>
          <a:ext cx="152400" cy="152400"/>
        </a:xfrm>
        <a:prstGeom prst="rect">
          <a:avLst/>
        </a:prstGeom>
      </xdr:spPr>
    </xdr:pic>
    <xdr:clientData/>
  </xdr:oneCellAnchor>
  <xdr:oneCellAnchor>
    <xdr:from>
      <xdr:col>1</xdr:col>
      <xdr:colOff>63500</xdr:colOff>
      <xdr:row>142</xdr:row>
      <xdr:rowOff>12698</xdr:rowOff>
    </xdr:from>
    <xdr:ext cx="152400" cy="152400"/>
    <xdr:pic>
      <xdr:nvPicPr>
        <xdr:cNvPr id="140" name="image1.png">
          <a:extLst>
            <a:ext uri="{FF2B5EF4-FFF2-40B4-BE49-F238E27FC236}">
              <a16:creationId xmlns:a16="http://schemas.microsoft.com/office/drawing/2014/main" id="{BCFB700E-E5E6-4B59-9F79-BAEB2593851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5500" y="25263473"/>
          <a:ext cx="152400" cy="152400"/>
        </a:xfrm>
        <a:prstGeom prst="rect">
          <a:avLst/>
        </a:prstGeom>
      </xdr:spPr>
    </xdr:pic>
    <xdr:clientData/>
  </xdr:oneCellAnchor>
  <xdr:oneCellAnchor>
    <xdr:from>
      <xdr:col>1</xdr:col>
      <xdr:colOff>63500</xdr:colOff>
      <xdr:row>143</xdr:row>
      <xdr:rowOff>12698</xdr:rowOff>
    </xdr:from>
    <xdr:ext cx="152400" cy="152400"/>
    <xdr:pic>
      <xdr:nvPicPr>
        <xdr:cNvPr id="141" name="image1.png">
          <a:extLst>
            <a:ext uri="{FF2B5EF4-FFF2-40B4-BE49-F238E27FC236}">
              <a16:creationId xmlns:a16="http://schemas.microsoft.com/office/drawing/2014/main" id="{3217798A-C60A-4552-9FEA-7DDEA44F9C5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5500" y="25434923"/>
          <a:ext cx="152400" cy="152400"/>
        </a:xfrm>
        <a:prstGeom prst="rect">
          <a:avLst/>
        </a:prstGeom>
      </xdr:spPr>
    </xdr:pic>
    <xdr:clientData/>
  </xdr:oneCellAnchor>
  <xdr:oneCellAnchor>
    <xdr:from>
      <xdr:col>1</xdr:col>
      <xdr:colOff>63500</xdr:colOff>
      <xdr:row>144</xdr:row>
      <xdr:rowOff>12698</xdr:rowOff>
    </xdr:from>
    <xdr:ext cx="152400" cy="152400"/>
    <xdr:pic>
      <xdr:nvPicPr>
        <xdr:cNvPr id="142" name="image1.png">
          <a:extLst>
            <a:ext uri="{FF2B5EF4-FFF2-40B4-BE49-F238E27FC236}">
              <a16:creationId xmlns:a16="http://schemas.microsoft.com/office/drawing/2014/main" id="{D6964C7A-DD7C-4B4C-8D5B-4125A012C83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5500" y="25606373"/>
          <a:ext cx="152400" cy="152400"/>
        </a:xfrm>
        <a:prstGeom prst="rect">
          <a:avLst/>
        </a:prstGeom>
      </xdr:spPr>
    </xdr:pic>
    <xdr:clientData/>
  </xdr:oneCellAnchor>
  <xdr:oneCellAnchor>
    <xdr:from>
      <xdr:col>1</xdr:col>
      <xdr:colOff>63500</xdr:colOff>
      <xdr:row>145</xdr:row>
      <xdr:rowOff>12698</xdr:rowOff>
    </xdr:from>
    <xdr:ext cx="152400" cy="152400"/>
    <xdr:pic>
      <xdr:nvPicPr>
        <xdr:cNvPr id="143" name="image1.png">
          <a:extLst>
            <a:ext uri="{FF2B5EF4-FFF2-40B4-BE49-F238E27FC236}">
              <a16:creationId xmlns:a16="http://schemas.microsoft.com/office/drawing/2014/main" id="{EFAA6A76-C097-40EC-90FF-0A474407E4D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5500" y="25777823"/>
          <a:ext cx="152400" cy="152400"/>
        </a:xfrm>
        <a:prstGeom prst="rect">
          <a:avLst/>
        </a:prstGeom>
      </xdr:spPr>
    </xdr:pic>
    <xdr:clientData/>
  </xdr:oneCellAnchor>
  <xdr:oneCellAnchor>
    <xdr:from>
      <xdr:col>1</xdr:col>
      <xdr:colOff>63500</xdr:colOff>
      <xdr:row>146</xdr:row>
      <xdr:rowOff>12698</xdr:rowOff>
    </xdr:from>
    <xdr:ext cx="152400" cy="152400"/>
    <xdr:pic>
      <xdr:nvPicPr>
        <xdr:cNvPr id="144" name="image1.png">
          <a:extLst>
            <a:ext uri="{FF2B5EF4-FFF2-40B4-BE49-F238E27FC236}">
              <a16:creationId xmlns:a16="http://schemas.microsoft.com/office/drawing/2014/main" id="{592293E4-6FD5-4260-B1EE-7C30356EA8B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5500" y="25949273"/>
          <a:ext cx="152400" cy="152400"/>
        </a:xfrm>
        <a:prstGeom prst="rect">
          <a:avLst/>
        </a:prstGeom>
      </xdr:spPr>
    </xdr:pic>
    <xdr:clientData/>
  </xdr:oneCellAnchor>
  <xdr:oneCellAnchor>
    <xdr:from>
      <xdr:col>1</xdr:col>
      <xdr:colOff>63500</xdr:colOff>
      <xdr:row>147</xdr:row>
      <xdr:rowOff>12698</xdr:rowOff>
    </xdr:from>
    <xdr:ext cx="152400" cy="152400"/>
    <xdr:pic>
      <xdr:nvPicPr>
        <xdr:cNvPr id="145" name="image1.png">
          <a:extLst>
            <a:ext uri="{FF2B5EF4-FFF2-40B4-BE49-F238E27FC236}">
              <a16:creationId xmlns:a16="http://schemas.microsoft.com/office/drawing/2014/main" id="{1A6ADD1D-B0B7-4E13-8C35-8AA3D572571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5500" y="26120723"/>
          <a:ext cx="152400" cy="152400"/>
        </a:xfrm>
        <a:prstGeom prst="rect">
          <a:avLst/>
        </a:prstGeom>
      </xdr:spPr>
    </xdr:pic>
    <xdr:clientData/>
  </xdr:oneCellAnchor>
  <xdr:oneCellAnchor>
    <xdr:from>
      <xdr:col>1</xdr:col>
      <xdr:colOff>63500</xdr:colOff>
      <xdr:row>148</xdr:row>
      <xdr:rowOff>12698</xdr:rowOff>
    </xdr:from>
    <xdr:ext cx="152400" cy="152400"/>
    <xdr:pic>
      <xdr:nvPicPr>
        <xdr:cNvPr id="146" name="image1.png">
          <a:extLst>
            <a:ext uri="{FF2B5EF4-FFF2-40B4-BE49-F238E27FC236}">
              <a16:creationId xmlns:a16="http://schemas.microsoft.com/office/drawing/2014/main" id="{612A270B-64DD-4B20-B932-F6582A1979B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5500" y="26292173"/>
          <a:ext cx="152400" cy="152400"/>
        </a:xfrm>
        <a:prstGeom prst="rect">
          <a:avLst/>
        </a:prstGeom>
      </xdr:spPr>
    </xdr:pic>
    <xdr:clientData/>
  </xdr:oneCellAnchor>
  <xdr:oneCellAnchor>
    <xdr:from>
      <xdr:col>1</xdr:col>
      <xdr:colOff>63500</xdr:colOff>
      <xdr:row>149</xdr:row>
      <xdr:rowOff>12698</xdr:rowOff>
    </xdr:from>
    <xdr:ext cx="152400" cy="152400"/>
    <xdr:pic>
      <xdr:nvPicPr>
        <xdr:cNvPr id="147" name="image1.png">
          <a:extLst>
            <a:ext uri="{FF2B5EF4-FFF2-40B4-BE49-F238E27FC236}">
              <a16:creationId xmlns:a16="http://schemas.microsoft.com/office/drawing/2014/main" id="{C732DDAE-93B4-4A43-A16D-07C47ED5BBF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5500" y="26463623"/>
          <a:ext cx="152400" cy="152400"/>
        </a:xfrm>
        <a:prstGeom prst="rect">
          <a:avLst/>
        </a:prstGeom>
      </xdr:spPr>
    </xdr:pic>
    <xdr:clientData/>
  </xdr:oneCellAnchor>
  <xdr:oneCellAnchor>
    <xdr:from>
      <xdr:col>1</xdr:col>
      <xdr:colOff>63500</xdr:colOff>
      <xdr:row>150</xdr:row>
      <xdr:rowOff>12698</xdr:rowOff>
    </xdr:from>
    <xdr:ext cx="152400" cy="152400"/>
    <xdr:pic>
      <xdr:nvPicPr>
        <xdr:cNvPr id="148" name="image1.png">
          <a:extLst>
            <a:ext uri="{FF2B5EF4-FFF2-40B4-BE49-F238E27FC236}">
              <a16:creationId xmlns:a16="http://schemas.microsoft.com/office/drawing/2014/main" id="{678081A6-2046-48BD-8D44-456E4D1FBE5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5500" y="26635073"/>
          <a:ext cx="152400" cy="152400"/>
        </a:xfrm>
        <a:prstGeom prst="rect">
          <a:avLst/>
        </a:prstGeom>
      </xdr:spPr>
    </xdr:pic>
    <xdr:clientData/>
  </xdr:oneCellAnchor>
  <xdr:oneCellAnchor>
    <xdr:from>
      <xdr:col>1</xdr:col>
      <xdr:colOff>63500</xdr:colOff>
      <xdr:row>151</xdr:row>
      <xdr:rowOff>12698</xdr:rowOff>
    </xdr:from>
    <xdr:ext cx="152400" cy="152400"/>
    <xdr:pic>
      <xdr:nvPicPr>
        <xdr:cNvPr id="149" name="image1.png">
          <a:extLst>
            <a:ext uri="{FF2B5EF4-FFF2-40B4-BE49-F238E27FC236}">
              <a16:creationId xmlns:a16="http://schemas.microsoft.com/office/drawing/2014/main" id="{36A53312-0CF1-4279-9017-D018F17B828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5500" y="26806523"/>
          <a:ext cx="152400" cy="152400"/>
        </a:xfrm>
        <a:prstGeom prst="rect">
          <a:avLst/>
        </a:prstGeom>
      </xdr:spPr>
    </xdr:pic>
    <xdr:clientData/>
  </xdr:oneCellAnchor>
  <xdr:oneCellAnchor>
    <xdr:from>
      <xdr:col>1</xdr:col>
      <xdr:colOff>63500</xdr:colOff>
      <xdr:row>152</xdr:row>
      <xdr:rowOff>12698</xdr:rowOff>
    </xdr:from>
    <xdr:ext cx="152400" cy="152400"/>
    <xdr:pic>
      <xdr:nvPicPr>
        <xdr:cNvPr id="150" name="image1.png">
          <a:extLst>
            <a:ext uri="{FF2B5EF4-FFF2-40B4-BE49-F238E27FC236}">
              <a16:creationId xmlns:a16="http://schemas.microsoft.com/office/drawing/2014/main" id="{8C602C80-A7B4-437E-84B3-0F6654DB343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5500" y="26977973"/>
          <a:ext cx="152400" cy="152400"/>
        </a:xfrm>
        <a:prstGeom prst="rect">
          <a:avLst/>
        </a:prstGeom>
      </xdr:spPr>
    </xdr:pic>
    <xdr:clientData/>
  </xdr:oneCellAnchor>
  <xdr:oneCellAnchor>
    <xdr:from>
      <xdr:col>1</xdr:col>
      <xdr:colOff>63500</xdr:colOff>
      <xdr:row>153</xdr:row>
      <xdr:rowOff>12698</xdr:rowOff>
    </xdr:from>
    <xdr:ext cx="152400" cy="152400"/>
    <xdr:pic>
      <xdr:nvPicPr>
        <xdr:cNvPr id="151" name="image1.png">
          <a:extLst>
            <a:ext uri="{FF2B5EF4-FFF2-40B4-BE49-F238E27FC236}">
              <a16:creationId xmlns:a16="http://schemas.microsoft.com/office/drawing/2014/main" id="{49ADDF0A-6D55-4237-A38F-193B7BF099F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5500" y="27149423"/>
          <a:ext cx="152400" cy="152400"/>
        </a:xfrm>
        <a:prstGeom prst="rect">
          <a:avLst/>
        </a:prstGeom>
      </xdr:spPr>
    </xdr:pic>
    <xdr:clientData/>
  </xdr:oneCellAnchor>
  <xdr:oneCellAnchor>
    <xdr:from>
      <xdr:col>1</xdr:col>
      <xdr:colOff>63500</xdr:colOff>
      <xdr:row>154</xdr:row>
      <xdr:rowOff>12698</xdr:rowOff>
    </xdr:from>
    <xdr:ext cx="152400" cy="152400"/>
    <xdr:pic>
      <xdr:nvPicPr>
        <xdr:cNvPr id="152" name="image1.png">
          <a:extLst>
            <a:ext uri="{FF2B5EF4-FFF2-40B4-BE49-F238E27FC236}">
              <a16:creationId xmlns:a16="http://schemas.microsoft.com/office/drawing/2014/main" id="{F476F5D1-11A4-4B66-91B1-BDE26A01254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5500" y="27320873"/>
          <a:ext cx="152400" cy="152400"/>
        </a:xfrm>
        <a:prstGeom prst="rect">
          <a:avLst/>
        </a:prstGeom>
      </xdr:spPr>
    </xdr:pic>
    <xdr:clientData/>
  </xdr:oneCellAnchor>
  <xdr:oneCellAnchor>
    <xdr:from>
      <xdr:col>1</xdr:col>
      <xdr:colOff>63500</xdr:colOff>
      <xdr:row>155</xdr:row>
      <xdr:rowOff>12698</xdr:rowOff>
    </xdr:from>
    <xdr:ext cx="152400" cy="152400"/>
    <xdr:pic>
      <xdr:nvPicPr>
        <xdr:cNvPr id="153" name="image1.png">
          <a:extLst>
            <a:ext uri="{FF2B5EF4-FFF2-40B4-BE49-F238E27FC236}">
              <a16:creationId xmlns:a16="http://schemas.microsoft.com/office/drawing/2014/main" id="{BD4C4FD4-2350-4C4C-9A94-61EE294B9F2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5500" y="27492323"/>
          <a:ext cx="152400" cy="152400"/>
        </a:xfrm>
        <a:prstGeom prst="rect">
          <a:avLst/>
        </a:prstGeom>
      </xdr:spPr>
    </xdr:pic>
    <xdr:clientData/>
  </xdr:oneCellAnchor>
  <xdr:oneCellAnchor>
    <xdr:from>
      <xdr:col>1</xdr:col>
      <xdr:colOff>63500</xdr:colOff>
      <xdr:row>156</xdr:row>
      <xdr:rowOff>12698</xdr:rowOff>
    </xdr:from>
    <xdr:ext cx="152400" cy="152400"/>
    <xdr:pic>
      <xdr:nvPicPr>
        <xdr:cNvPr id="154" name="image1.png">
          <a:extLst>
            <a:ext uri="{FF2B5EF4-FFF2-40B4-BE49-F238E27FC236}">
              <a16:creationId xmlns:a16="http://schemas.microsoft.com/office/drawing/2014/main" id="{835A85EA-28F9-4C6F-A8F5-BE21C55DB4A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5500" y="27663773"/>
          <a:ext cx="152400" cy="152400"/>
        </a:xfrm>
        <a:prstGeom prst="rect">
          <a:avLst/>
        </a:prstGeom>
      </xdr:spPr>
    </xdr:pic>
    <xdr:clientData/>
  </xdr:oneCellAnchor>
  <xdr:oneCellAnchor>
    <xdr:from>
      <xdr:col>1</xdr:col>
      <xdr:colOff>63500</xdr:colOff>
      <xdr:row>157</xdr:row>
      <xdr:rowOff>12698</xdr:rowOff>
    </xdr:from>
    <xdr:ext cx="152400" cy="152400"/>
    <xdr:pic>
      <xdr:nvPicPr>
        <xdr:cNvPr id="155" name="image1.png">
          <a:extLst>
            <a:ext uri="{FF2B5EF4-FFF2-40B4-BE49-F238E27FC236}">
              <a16:creationId xmlns:a16="http://schemas.microsoft.com/office/drawing/2014/main" id="{3698F332-C5D0-4BF0-92AB-08DB47083BC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5500" y="27835223"/>
          <a:ext cx="152400" cy="152400"/>
        </a:xfrm>
        <a:prstGeom prst="rect">
          <a:avLst/>
        </a:prstGeom>
      </xdr:spPr>
    </xdr:pic>
    <xdr:clientData/>
  </xdr:oneCellAnchor>
  <xdr:oneCellAnchor>
    <xdr:from>
      <xdr:col>1</xdr:col>
      <xdr:colOff>63500</xdr:colOff>
      <xdr:row>158</xdr:row>
      <xdr:rowOff>12698</xdr:rowOff>
    </xdr:from>
    <xdr:ext cx="152400" cy="152400"/>
    <xdr:pic>
      <xdr:nvPicPr>
        <xdr:cNvPr id="156" name="image1.png">
          <a:extLst>
            <a:ext uri="{FF2B5EF4-FFF2-40B4-BE49-F238E27FC236}">
              <a16:creationId xmlns:a16="http://schemas.microsoft.com/office/drawing/2014/main" id="{A6D942E2-E3DD-46CC-B6E4-5F07A18A278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5500" y="28006673"/>
          <a:ext cx="152400" cy="152400"/>
        </a:xfrm>
        <a:prstGeom prst="rect">
          <a:avLst/>
        </a:prstGeom>
      </xdr:spPr>
    </xdr:pic>
    <xdr:clientData/>
  </xdr:oneCellAnchor>
  <xdr:oneCellAnchor>
    <xdr:from>
      <xdr:col>1</xdr:col>
      <xdr:colOff>63500</xdr:colOff>
      <xdr:row>159</xdr:row>
      <xdr:rowOff>12698</xdr:rowOff>
    </xdr:from>
    <xdr:ext cx="152400" cy="152400"/>
    <xdr:pic>
      <xdr:nvPicPr>
        <xdr:cNvPr id="157" name="image1.png">
          <a:extLst>
            <a:ext uri="{FF2B5EF4-FFF2-40B4-BE49-F238E27FC236}">
              <a16:creationId xmlns:a16="http://schemas.microsoft.com/office/drawing/2014/main" id="{8068FB35-1B79-4B89-AD19-BD3EC85545E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5500" y="28178123"/>
          <a:ext cx="152400" cy="152400"/>
        </a:xfrm>
        <a:prstGeom prst="rect">
          <a:avLst/>
        </a:prstGeom>
      </xdr:spPr>
    </xdr:pic>
    <xdr:clientData/>
  </xdr:oneCellAnchor>
  <xdr:oneCellAnchor>
    <xdr:from>
      <xdr:col>1</xdr:col>
      <xdr:colOff>63500</xdr:colOff>
      <xdr:row>160</xdr:row>
      <xdr:rowOff>12698</xdr:rowOff>
    </xdr:from>
    <xdr:ext cx="152400" cy="152400"/>
    <xdr:pic>
      <xdr:nvPicPr>
        <xdr:cNvPr id="158" name="image1.png">
          <a:extLst>
            <a:ext uri="{FF2B5EF4-FFF2-40B4-BE49-F238E27FC236}">
              <a16:creationId xmlns:a16="http://schemas.microsoft.com/office/drawing/2014/main" id="{DA027D60-D23A-4901-ADF4-F2F69ADF8D4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5500" y="28349573"/>
          <a:ext cx="152400" cy="152400"/>
        </a:xfrm>
        <a:prstGeom prst="rect">
          <a:avLst/>
        </a:prstGeom>
      </xdr:spPr>
    </xdr:pic>
    <xdr:clientData/>
  </xdr:oneCellAnchor>
  <xdr:oneCellAnchor>
    <xdr:from>
      <xdr:col>1</xdr:col>
      <xdr:colOff>63500</xdr:colOff>
      <xdr:row>161</xdr:row>
      <xdr:rowOff>12698</xdr:rowOff>
    </xdr:from>
    <xdr:ext cx="152400" cy="152400"/>
    <xdr:pic>
      <xdr:nvPicPr>
        <xdr:cNvPr id="159" name="image1.png">
          <a:extLst>
            <a:ext uri="{FF2B5EF4-FFF2-40B4-BE49-F238E27FC236}">
              <a16:creationId xmlns:a16="http://schemas.microsoft.com/office/drawing/2014/main" id="{1899CBDC-9EEB-4AEC-8B25-CC0863AEF39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5500" y="28521023"/>
          <a:ext cx="152400" cy="152400"/>
        </a:xfrm>
        <a:prstGeom prst="rect">
          <a:avLst/>
        </a:prstGeom>
      </xdr:spPr>
    </xdr:pic>
    <xdr:clientData/>
  </xdr:oneCellAnchor>
  <xdr:oneCellAnchor>
    <xdr:from>
      <xdr:col>1</xdr:col>
      <xdr:colOff>63500</xdr:colOff>
      <xdr:row>162</xdr:row>
      <xdr:rowOff>12698</xdr:rowOff>
    </xdr:from>
    <xdr:ext cx="152400" cy="152400"/>
    <xdr:pic>
      <xdr:nvPicPr>
        <xdr:cNvPr id="160" name="image1.png">
          <a:extLst>
            <a:ext uri="{FF2B5EF4-FFF2-40B4-BE49-F238E27FC236}">
              <a16:creationId xmlns:a16="http://schemas.microsoft.com/office/drawing/2014/main" id="{14E1FDF1-D678-4765-A4F8-E2CB597AC29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5500" y="28692473"/>
          <a:ext cx="152400" cy="152400"/>
        </a:xfrm>
        <a:prstGeom prst="rect">
          <a:avLst/>
        </a:prstGeom>
      </xdr:spPr>
    </xdr:pic>
    <xdr:clientData/>
  </xdr:oneCellAnchor>
  <xdr:oneCellAnchor>
    <xdr:from>
      <xdr:col>1</xdr:col>
      <xdr:colOff>63500</xdr:colOff>
      <xdr:row>163</xdr:row>
      <xdr:rowOff>12698</xdr:rowOff>
    </xdr:from>
    <xdr:ext cx="152400" cy="152400"/>
    <xdr:pic>
      <xdr:nvPicPr>
        <xdr:cNvPr id="161" name="image1.png">
          <a:extLst>
            <a:ext uri="{FF2B5EF4-FFF2-40B4-BE49-F238E27FC236}">
              <a16:creationId xmlns:a16="http://schemas.microsoft.com/office/drawing/2014/main" id="{B2FA29C6-A403-40D2-816B-3F9535914E8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5500" y="28863923"/>
          <a:ext cx="152400" cy="152400"/>
        </a:xfrm>
        <a:prstGeom prst="rect">
          <a:avLst/>
        </a:prstGeom>
      </xdr:spPr>
    </xdr:pic>
    <xdr:clientData/>
  </xdr:oneCellAnchor>
  <xdr:oneCellAnchor>
    <xdr:from>
      <xdr:col>1</xdr:col>
      <xdr:colOff>63500</xdr:colOff>
      <xdr:row>164</xdr:row>
      <xdr:rowOff>12698</xdr:rowOff>
    </xdr:from>
    <xdr:ext cx="152400" cy="152400"/>
    <xdr:pic>
      <xdr:nvPicPr>
        <xdr:cNvPr id="162" name="image1.png">
          <a:extLst>
            <a:ext uri="{FF2B5EF4-FFF2-40B4-BE49-F238E27FC236}">
              <a16:creationId xmlns:a16="http://schemas.microsoft.com/office/drawing/2014/main" id="{0ABFB20D-01C1-49FA-9240-6C5EA016236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5500" y="29035373"/>
          <a:ext cx="152400" cy="152400"/>
        </a:xfrm>
        <a:prstGeom prst="rect">
          <a:avLst/>
        </a:prstGeom>
      </xdr:spPr>
    </xdr:pic>
    <xdr:clientData/>
  </xdr:oneCellAnchor>
  <xdr:oneCellAnchor>
    <xdr:from>
      <xdr:col>1</xdr:col>
      <xdr:colOff>63500</xdr:colOff>
      <xdr:row>165</xdr:row>
      <xdr:rowOff>12698</xdr:rowOff>
    </xdr:from>
    <xdr:ext cx="152400" cy="152400"/>
    <xdr:pic>
      <xdr:nvPicPr>
        <xdr:cNvPr id="163" name="image1.png">
          <a:extLst>
            <a:ext uri="{FF2B5EF4-FFF2-40B4-BE49-F238E27FC236}">
              <a16:creationId xmlns:a16="http://schemas.microsoft.com/office/drawing/2014/main" id="{F7670530-5282-4367-856F-5E3ACDCBCC4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5500" y="29206823"/>
          <a:ext cx="152400" cy="152400"/>
        </a:xfrm>
        <a:prstGeom prst="rect">
          <a:avLst/>
        </a:prstGeom>
      </xdr:spPr>
    </xdr:pic>
    <xdr:clientData/>
  </xdr:oneCellAnchor>
  <xdr:oneCellAnchor>
    <xdr:from>
      <xdr:col>1</xdr:col>
      <xdr:colOff>63500</xdr:colOff>
      <xdr:row>166</xdr:row>
      <xdr:rowOff>12698</xdr:rowOff>
    </xdr:from>
    <xdr:ext cx="152400" cy="152400"/>
    <xdr:pic>
      <xdr:nvPicPr>
        <xdr:cNvPr id="164" name="image1.png">
          <a:extLst>
            <a:ext uri="{FF2B5EF4-FFF2-40B4-BE49-F238E27FC236}">
              <a16:creationId xmlns:a16="http://schemas.microsoft.com/office/drawing/2014/main" id="{DE0AE48E-6317-4F30-A5BD-FF9E40A21CD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5500" y="29378273"/>
          <a:ext cx="152400" cy="152400"/>
        </a:xfrm>
        <a:prstGeom prst="rect">
          <a:avLst/>
        </a:prstGeom>
      </xdr:spPr>
    </xdr:pic>
    <xdr:clientData/>
  </xdr:oneCellAnchor>
  <xdr:oneCellAnchor>
    <xdr:from>
      <xdr:col>1</xdr:col>
      <xdr:colOff>63500</xdr:colOff>
      <xdr:row>167</xdr:row>
      <xdr:rowOff>12698</xdr:rowOff>
    </xdr:from>
    <xdr:ext cx="152400" cy="152400"/>
    <xdr:pic>
      <xdr:nvPicPr>
        <xdr:cNvPr id="165" name="image1.png">
          <a:extLst>
            <a:ext uri="{FF2B5EF4-FFF2-40B4-BE49-F238E27FC236}">
              <a16:creationId xmlns:a16="http://schemas.microsoft.com/office/drawing/2014/main" id="{4DFABD1C-CDEB-4EA2-B243-8FF05ED80A6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5500" y="29549723"/>
          <a:ext cx="152400" cy="152400"/>
        </a:xfrm>
        <a:prstGeom prst="rect">
          <a:avLst/>
        </a:prstGeom>
      </xdr:spPr>
    </xdr:pic>
    <xdr:clientData/>
  </xdr:oneCellAnchor>
  <xdr:oneCellAnchor>
    <xdr:from>
      <xdr:col>1</xdr:col>
      <xdr:colOff>63500</xdr:colOff>
      <xdr:row>168</xdr:row>
      <xdr:rowOff>12698</xdr:rowOff>
    </xdr:from>
    <xdr:ext cx="152400" cy="152400"/>
    <xdr:pic>
      <xdr:nvPicPr>
        <xdr:cNvPr id="166" name="image1.png">
          <a:extLst>
            <a:ext uri="{FF2B5EF4-FFF2-40B4-BE49-F238E27FC236}">
              <a16:creationId xmlns:a16="http://schemas.microsoft.com/office/drawing/2014/main" id="{62079B34-38DA-4354-A01C-AAA5E501B7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5500" y="29721173"/>
          <a:ext cx="152400" cy="152400"/>
        </a:xfrm>
        <a:prstGeom prst="rect">
          <a:avLst/>
        </a:prstGeom>
      </xdr:spPr>
    </xdr:pic>
    <xdr:clientData/>
  </xdr:oneCellAnchor>
  <xdr:oneCellAnchor>
    <xdr:from>
      <xdr:col>1</xdr:col>
      <xdr:colOff>63500</xdr:colOff>
      <xdr:row>169</xdr:row>
      <xdr:rowOff>12698</xdr:rowOff>
    </xdr:from>
    <xdr:ext cx="152400" cy="152400"/>
    <xdr:pic>
      <xdr:nvPicPr>
        <xdr:cNvPr id="167" name="image1.png">
          <a:extLst>
            <a:ext uri="{FF2B5EF4-FFF2-40B4-BE49-F238E27FC236}">
              <a16:creationId xmlns:a16="http://schemas.microsoft.com/office/drawing/2014/main" id="{90C915D8-655B-4223-94CA-B6A6C4AA097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5500" y="29892623"/>
          <a:ext cx="152400" cy="152400"/>
        </a:xfrm>
        <a:prstGeom prst="rect">
          <a:avLst/>
        </a:prstGeom>
      </xdr:spPr>
    </xdr:pic>
    <xdr:clientData/>
  </xdr:oneCellAnchor>
  <xdr:oneCellAnchor>
    <xdr:from>
      <xdr:col>1</xdr:col>
      <xdr:colOff>63500</xdr:colOff>
      <xdr:row>170</xdr:row>
      <xdr:rowOff>12698</xdr:rowOff>
    </xdr:from>
    <xdr:ext cx="152400" cy="152400"/>
    <xdr:pic>
      <xdr:nvPicPr>
        <xdr:cNvPr id="168" name="image1.png">
          <a:extLst>
            <a:ext uri="{FF2B5EF4-FFF2-40B4-BE49-F238E27FC236}">
              <a16:creationId xmlns:a16="http://schemas.microsoft.com/office/drawing/2014/main" id="{5CB52EC8-E043-46BF-B8D6-10D9F590378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5500" y="30064073"/>
          <a:ext cx="152400" cy="152400"/>
        </a:xfrm>
        <a:prstGeom prst="rect">
          <a:avLst/>
        </a:prstGeom>
      </xdr:spPr>
    </xdr:pic>
    <xdr:clientData/>
  </xdr:oneCellAnchor>
  <xdr:oneCellAnchor>
    <xdr:from>
      <xdr:col>1</xdr:col>
      <xdr:colOff>63500</xdr:colOff>
      <xdr:row>171</xdr:row>
      <xdr:rowOff>12698</xdr:rowOff>
    </xdr:from>
    <xdr:ext cx="152400" cy="152400"/>
    <xdr:pic>
      <xdr:nvPicPr>
        <xdr:cNvPr id="169" name="image1.png">
          <a:extLst>
            <a:ext uri="{FF2B5EF4-FFF2-40B4-BE49-F238E27FC236}">
              <a16:creationId xmlns:a16="http://schemas.microsoft.com/office/drawing/2014/main" id="{AE23C520-0108-4151-B93D-D4B654F4113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5500" y="30235523"/>
          <a:ext cx="152400" cy="152400"/>
        </a:xfrm>
        <a:prstGeom prst="rect">
          <a:avLst/>
        </a:prstGeom>
      </xdr:spPr>
    </xdr:pic>
    <xdr:clientData/>
  </xdr:oneCellAnchor>
  <xdr:oneCellAnchor>
    <xdr:from>
      <xdr:col>1</xdr:col>
      <xdr:colOff>63500</xdr:colOff>
      <xdr:row>172</xdr:row>
      <xdr:rowOff>12698</xdr:rowOff>
    </xdr:from>
    <xdr:ext cx="152400" cy="152400"/>
    <xdr:pic>
      <xdr:nvPicPr>
        <xdr:cNvPr id="170" name="image1.png">
          <a:extLst>
            <a:ext uri="{FF2B5EF4-FFF2-40B4-BE49-F238E27FC236}">
              <a16:creationId xmlns:a16="http://schemas.microsoft.com/office/drawing/2014/main" id="{04D77C8C-A931-422B-A752-F983E8D47DB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5500" y="30406973"/>
          <a:ext cx="152400" cy="152400"/>
        </a:xfrm>
        <a:prstGeom prst="rect">
          <a:avLst/>
        </a:prstGeom>
      </xdr:spPr>
    </xdr:pic>
    <xdr:clientData/>
  </xdr:oneCellAnchor>
  <xdr:oneCellAnchor>
    <xdr:from>
      <xdr:col>1</xdr:col>
      <xdr:colOff>63500</xdr:colOff>
      <xdr:row>173</xdr:row>
      <xdr:rowOff>12698</xdr:rowOff>
    </xdr:from>
    <xdr:ext cx="152400" cy="152400"/>
    <xdr:pic>
      <xdr:nvPicPr>
        <xdr:cNvPr id="171" name="image1.png">
          <a:extLst>
            <a:ext uri="{FF2B5EF4-FFF2-40B4-BE49-F238E27FC236}">
              <a16:creationId xmlns:a16="http://schemas.microsoft.com/office/drawing/2014/main" id="{B498D000-50C2-4777-9932-F1E74592442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5500" y="30578423"/>
          <a:ext cx="152400" cy="152400"/>
        </a:xfrm>
        <a:prstGeom prst="rect">
          <a:avLst/>
        </a:prstGeom>
      </xdr:spPr>
    </xdr:pic>
    <xdr:clientData/>
  </xdr:oneCellAnchor>
  <xdr:oneCellAnchor>
    <xdr:from>
      <xdr:col>1</xdr:col>
      <xdr:colOff>63500</xdr:colOff>
      <xdr:row>174</xdr:row>
      <xdr:rowOff>12698</xdr:rowOff>
    </xdr:from>
    <xdr:ext cx="152400" cy="152400"/>
    <xdr:pic>
      <xdr:nvPicPr>
        <xdr:cNvPr id="172" name="image1.png">
          <a:extLst>
            <a:ext uri="{FF2B5EF4-FFF2-40B4-BE49-F238E27FC236}">
              <a16:creationId xmlns:a16="http://schemas.microsoft.com/office/drawing/2014/main" id="{282882BE-3808-4945-8EA7-B6C3A5389D3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5500" y="30749873"/>
          <a:ext cx="152400" cy="152400"/>
        </a:xfrm>
        <a:prstGeom prst="rect">
          <a:avLst/>
        </a:prstGeom>
      </xdr:spPr>
    </xdr:pic>
    <xdr:clientData/>
  </xdr:oneCellAnchor>
  <xdr:oneCellAnchor>
    <xdr:from>
      <xdr:col>1</xdr:col>
      <xdr:colOff>63500</xdr:colOff>
      <xdr:row>175</xdr:row>
      <xdr:rowOff>12698</xdr:rowOff>
    </xdr:from>
    <xdr:ext cx="152400" cy="152400"/>
    <xdr:pic>
      <xdr:nvPicPr>
        <xdr:cNvPr id="173" name="image1.png">
          <a:extLst>
            <a:ext uri="{FF2B5EF4-FFF2-40B4-BE49-F238E27FC236}">
              <a16:creationId xmlns:a16="http://schemas.microsoft.com/office/drawing/2014/main" id="{998EC142-3555-4959-89AD-89D5F4E8A98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5500" y="30921323"/>
          <a:ext cx="152400" cy="152400"/>
        </a:xfrm>
        <a:prstGeom prst="rect">
          <a:avLst/>
        </a:prstGeom>
      </xdr:spPr>
    </xdr:pic>
    <xdr:clientData/>
  </xdr:oneCellAnchor>
  <xdr:oneCellAnchor>
    <xdr:from>
      <xdr:col>1</xdr:col>
      <xdr:colOff>63500</xdr:colOff>
      <xdr:row>176</xdr:row>
      <xdr:rowOff>12698</xdr:rowOff>
    </xdr:from>
    <xdr:ext cx="152400" cy="152400"/>
    <xdr:pic>
      <xdr:nvPicPr>
        <xdr:cNvPr id="174" name="image1.png">
          <a:extLst>
            <a:ext uri="{FF2B5EF4-FFF2-40B4-BE49-F238E27FC236}">
              <a16:creationId xmlns:a16="http://schemas.microsoft.com/office/drawing/2014/main" id="{79C2FC95-8537-4A7B-ABB3-DF7226FB846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5500" y="31092773"/>
          <a:ext cx="152400" cy="152400"/>
        </a:xfrm>
        <a:prstGeom prst="rect">
          <a:avLst/>
        </a:prstGeom>
      </xdr:spPr>
    </xdr:pic>
    <xdr:clientData/>
  </xdr:oneCellAnchor>
  <xdr:oneCellAnchor>
    <xdr:from>
      <xdr:col>1</xdr:col>
      <xdr:colOff>63500</xdr:colOff>
      <xdr:row>177</xdr:row>
      <xdr:rowOff>12698</xdr:rowOff>
    </xdr:from>
    <xdr:ext cx="152400" cy="152400"/>
    <xdr:pic>
      <xdr:nvPicPr>
        <xdr:cNvPr id="175" name="image1.png">
          <a:extLst>
            <a:ext uri="{FF2B5EF4-FFF2-40B4-BE49-F238E27FC236}">
              <a16:creationId xmlns:a16="http://schemas.microsoft.com/office/drawing/2014/main" id="{788C9B83-FBDC-4BF6-8BC0-82381377627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5500" y="31264223"/>
          <a:ext cx="152400" cy="152400"/>
        </a:xfrm>
        <a:prstGeom prst="rect">
          <a:avLst/>
        </a:prstGeom>
      </xdr:spPr>
    </xdr:pic>
    <xdr:clientData/>
  </xdr:oneCellAnchor>
  <xdr:oneCellAnchor>
    <xdr:from>
      <xdr:col>1</xdr:col>
      <xdr:colOff>63500</xdr:colOff>
      <xdr:row>178</xdr:row>
      <xdr:rowOff>12698</xdr:rowOff>
    </xdr:from>
    <xdr:ext cx="152400" cy="152400"/>
    <xdr:pic>
      <xdr:nvPicPr>
        <xdr:cNvPr id="176" name="image1.png">
          <a:extLst>
            <a:ext uri="{FF2B5EF4-FFF2-40B4-BE49-F238E27FC236}">
              <a16:creationId xmlns:a16="http://schemas.microsoft.com/office/drawing/2014/main" id="{D45B2BC0-5712-4814-B983-2A113F37CFF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5500" y="31435673"/>
          <a:ext cx="152400" cy="152400"/>
        </a:xfrm>
        <a:prstGeom prst="rect">
          <a:avLst/>
        </a:prstGeom>
      </xdr:spPr>
    </xdr:pic>
    <xdr:clientData/>
  </xdr:oneCellAnchor>
  <xdr:oneCellAnchor>
    <xdr:from>
      <xdr:col>1</xdr:col>
      <xdr:colOff>63500</xdr:colOff>
      <xdr:row>179</xdr:row>
      <xdr:rowOff>12698</xdr:rowOff>
    </xdr:from>
    <xdr:ext cx="152400" cy="152400"/>
    <xdr:pic>
      <xdr:nvPicPr>
        <xdr:cNvPr id="177" name="image1.png">
          <a:extLst>
            <a:ext uri="{FF2B5EF4-FFF2-40B4-BE49-F238E27FC236}">
              <a16:creationId xmlns:a16="http://schemas.microsoft.com/office/drawing/2014/main" id="{78CE5B56-F64C-48A7-8810-CDA01CDBEF6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5500" y="31607123"/>
          <a:ext cx="152400" cy="152400"/>
        </a:xfrm>
        <a:prstGeom prst="rect">
          <a:avLst/>
        </a:prstGeom>
      </xdr:spPr>
    </xdr:pic>
    <xdr:clientData/>
  </xdr:oneCellAnchor>
  <xdr:oneCellAnchor>
    <xdr:from>
      <xdr:col>1</xdr:col>
      <xdr:colOff>63500</xdr:colOff>
      <xdr:row>180</xdr:row>
      <xdr:rowOff>12698</xdr:rowOff>
    </xdr:from>
    <xdr:ext cx="152400" cy="152400"/>
    <xdr:pic>
      <xdr:nvPicPr>
        <xdr:cNvPr id="178" name="image1.png">
          <a:extLst>
            <a:ext uri="{FF2B5EF4-FFF2-40B4-BE49-F238E27FC236}">
              <a16:creationId xmlns:a16="http://schemas.microsoft.com/office/drawing/2014/main" id="{BEE90CCF-5EA3-4866-8E42-0EA9736BE2C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5500" y="31778573"/>
          <a:ext cx="152400" cy="152400"/>
        </a:xfrm>
        <a:prstGeom prst="rect">
          <a:avLst/>
        </a:prstGeom>
      </xdr:spPr>
    </xdr:pic>
    <xdr:clientData/>
  </xdr:oneCellAnchor>
  <xdr:oneCellAnchor>
    <xdr:from>
      <xdr:col>1</xdr:col>
      <xdr:colOff>63500</xdr:colOff>
      <xdr:row>181</xdr:row>
      <xdr:rowOff>12698</xdr:rowOff>
    </xdr:from>
    <xdr:ext cx="152400" cy="152400"/>
    <xdr:pic>
      <xdr:nvPicPr>
        <xdr:cNvPr id="179" name="image1.png">
          <a:extLst>
            <a:ext uri="{FF2B5EF4-FFF2-40B4-BE49-F238E27FC236}">
              <a16:creationId xmlns:a16="http://schemas.microsoft.com/office/drawing/2014/main" id="{7DFC78BD-99C6-4B0E-8D6F-C4C21624325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5500" y="31950023"/>
          <a:ext cx="152400" cy="152400"/>
        </a:xfrm>
        <a:prstGeom prst="rect">
          <a:avLst/>
        </a:prstGeom>
      </xdr:spPr>
    </xdr:pic>
    <xdr:clientData/>
  </xdr:oneCellAnchor>
  <xdr:oneCellAnchor>
    <xdr:from>
      <xdr:col>1</xdr:col>
      <xdr:colOff>63500</xdr:colOff>
      <xdr:row>182</xdr:row>
      <xdr:rowOff>12698</xdr:rowOff>
    </xdr:from>
    <xdr:ext cx="152400" cy="152400"/>
    <xdr:pic>
      <xdr:nvPicPr>
        <xdr:cNvPr id="180" name="image1.png">
          <a:extLst>
            <a:ext uri="{FF2B5EF4-FFF2-40B4-BE49-F238E27FC236}">
              <a16:creationId xmlns:a16="http://schemas.microsoft.com/office/drawing/2014/main" id="{303185A9-FB1C-4A62-B425-7A164304FC7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5500" y="32121473"/>
          <a:ext cx="152400" cy="152400"/>
        </a:xfrm>
        <a:prstGeom prst="rect">
          <a:avLst/>
        </a:prstGeom>
      </xdr:spPr>
    </xdr:pic>
    <xdr:clientData/>
  </xdr:oneCellAnchor>
  <xdr:oneCellAnchor>
    <xdr:from>
      <xdr:col>1</xdr:col>
      <xdr:colOff>63500</xdr:colOff>
      <xdr:row>183</xdr:row>
      <xdr:rowOff>12698</xdr:rowOff>
    </xdr:from>
    <xdr:ext cx="152400" cy="152400"/>
    <xdr:pic>
      <xdr:nvPicPr>
        <xdr:cNvPr id="181" name="image1.png">
          <a:extLst>
            <a:ext uri="{FF2B5EF4-FFF2-40B4-BE49-F238E27FC236}">
              <a16:creationId xmlns:a16="http://schemas.microsoft.com/office/drawing/2014/main" id="{8ED67F48-6E1F-428D-B0C6-9D5C748B782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5500" y="32292923"/>
          <a:ext cx="152400" cy="152400"/>
        </a:xfrm>
        <a:prstGeom prst="rect">
          <a:avLst/>
        </a:prstGeom>
      </xdr:spPr>
    </xdr:pic>
    <xdr:clientData/>
  </xdr:oneCellAnchor>
  <xdr:oneCellAnchor>
    <xdr:from>
      <xdr:col>1</xdr:col>
      <xdr:colOff>63500</xdr:colOff>
      <xdr:row>184</xdr:row>
      <xdr:rowOff>12698</xdr:rowOff>
    </xdr:from>
    <xdr:ext cx="152400" cy="152400"/>
    <xdr:pic>
      <xdr:nvPicPr>
        <xdr:cNvPr id="182" name="image1.png">
          <a:extLst>
            <a:ext uri="{FF2B5EF4-FFF2-40B4-BE49-F238E27FC236}">
              <a16:creationId xmlns:a16="http://schemas.microsoft.com/office/drawing/2014/main" id="{EF53574F-4D83-4AD2-87AE-CDCC68586B9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5500" y="32464373"/>
          <a:ext cx="152400" cy="152400"/>
        </a:xfrm>
        <a:prstGeom prst="rect">
          <a:avLst/>
        </a:prstGeom>
      </xdr:spPr>
    </xdr:pic>
    <xdr:clientData/>
  </xdr:oneCellAnchor>
  <xdr:oneCellAnchor>
    <xdr:from>
      <xdr:col>1</xdr:col>
      <xdr:colOff>82550</xdr:colOff>
      <xdr:row>185</xdr:row>
      <xdr:rowOff>31748</xdr:rowOff>
    </xdr:from>
    <xdr:ext cx="114300" cy="123825"/>
    <xdr:pic>
      <xdr:nvPicPr>
        <xdr:cNvPr id="183" name="image3.png">
          <a:extLst>
            <a:ext uri="{FF2B5EF4-FFF2-40B4-BE49-F238E27FC236}">
              <a16:creationId xmlns:a16="http://schemas.microsoft.com/office/drawing/2014/main" id="{ED110881-0CBB-4D63-B8DF-E71CEDBFE1F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44550" y="32654873"/>
          <a:ext cx="114300" cy="123825"/>
        </a:xfrm>
        <a:prstGeom prst="rect">
          <a:avLst/>
        </a:prstGeom>
      </xdr:spPr>
    </xdr:pic>
    <xdr:clientData/>
  </xdr:oneCellAnchor>
  <xdr:oneCellAnchor>
    <xdr:from>
      <xdr:col>1</xdr:col>
      <xdr:colOff>82550</xdr:colOff>
      <xdr:row>186</xdr:row>
      <xdr:rowOff>31748</xdr:rowOff>
    </xdr:from>
    <xdr:ext cx="114300" cy="123825"/>
    <xdr:pic>
      <xdr:nvPicPr>
        <xdr:cNvPr id="184" name="image3.png">
          <a:extLst>
            <a:ext uri="{FF2B5EF4-FFF2-40B4-BE49-F238E27FC236}">
              <a16:creationId xmlns:a16="http://schemas.microsoft.com/office/drawing/2014/main" id="{3779471D-CB69-4AF6-BC53-4464781E0F7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44550" y="32826323"/>
          <a:ext cx="114300" cy="123825"/>
        </a:xfrm>
        <a:prstGeom prst="rect">
          <a:avLst/>
        </a:prstGeom>
      </xdr:spPr>
    </xdr:pic>
    <xdr:clientData/>
  </xdr:oneCellAnchor>
  <xdr:oneCellAnchor>
    <xdr:from>
      <xdr:col>1</xdr:col>
      <xdr:colOff>82550</xdr:colOff>
      <xdr:row>187</xdr:row>
      <xdr:rowOff>31748</xdr:rowOff>
    </xdr:from>
    <xdr:ext cx="114300" cy="123825"/>
    <xdr:pic>
      <xdr:nvPicPr>
        <xdr:cNvPr id="185" name="image3.png">
          <a:extLst>
            <a:ext uri="{FF2B5EF4-FFF2-40B4-BE49-F238E27FC236}">
              <a16:creationId xmlns:a16="http://schemas.microsoft.com/office/drawing/2014/main" id="{5181A1F3-3A0F-4D51-B6BB-769025DD6DA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44550" y="32997773"/>
          <a:ext cx="114300" cy="123825"/>
        </a:xfrm>
        <a:prstGeom prst="rect">
          <a:avLst/>
        </a:prstGeom>
      </xdr:spPr>
    </xdr:pic>
    <xdr:clientData/>
  </xdr:oneCellAnchor>
  <xdr:oneCellAnchor>
    <xdr:from>
      <xdr:col>1</xdr:col>
      <xdr:colOff>63500</xdr:colOff>
      <xdr:row>188</xdr:row>
      <xdr:rowOff>12698</xdr:rowOff>
    </xdr:from>
    <xdr:ext cx="152400" cy="152400"/>
    <xdr:pic>
      <xdr:nvPicPr>
        <xdr:cNvPr id="186" name="image1.png">
          <a:extLst>
            <a:ext uri="{FF2B5EF4-FFF2-40B4-BE49-F238E27FC236}">
              <a16:creationId xmlns:a16="http://schemas.microsoft.com/office/drawing/2014/main" id="{CC37E68A-8781-4923-A6AD-28332F828FB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5500" y="33150173"/>
          <a:ext cx="152400" cy="152400"/>
        </a:xfrm>
        <a:prstGeom prst="rect">
          <a:avLst/>
        </a:prstGeom>
      </xdr:spPr>
    </xdr:pic>
    <xdr:clientData/>
  </xdr:oneCellAnchor>
  <xdr:oneCellAnchor>
    <xdr:from>
      <xdr:col>1</xdr:col>
      <xdr:colOff>63500</xdr:colOff>
      <xdr:row>189</xdr:row>
      <xdr:rowOff>12698</xdr:rowOff>
    </xdr:from>
    <xdr:ext cx="152400" cy="152400"/>
    <xdr:pic>
      <xdr:nvPicPr>
        <xdr:cNvPr id="187" name="image1.png">
          <a:extLst>
            <a:ext uri="{FF2B5EF4-FFF2-40B4-BE49-F238E27FC236}">
              <a16:creationId xmlns:a16="http://schemas.microsoft.com/office/drawing/2014/main" id="{59E2E3D0-A8E7-4392-8F60-394C18B0117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5500" y="33321623"/>
          <a:ext cx="152400" cy="152400"/>
        </a:xfrm>
        <a:prstGeom prst="rect">
          <a:avLst/>
        </a:prstGeom>
      </xdr:spPr>
    </xdr:pic>
    <xdr:clientData/>
  </xdr:oneCellAnchor>
  <xdr:oneCellAnchor>
    <xdr:from>
      <xdr:col>1</xdr:col>
      <xdr:colOff>63500</xdr:colOff>
      <xdr:row>190</xdr:row>
      <xdr:rowOff>12698</xdr:rowOff>
    </xdr:from>
    <xdr:ext cx="152400" cy="152400"/>
    <xdr:pic>
      <xdr:nvPicPr>
        <xdr:cNvPr id="188" name="image1.png">
          <a:extLst>
            <a:ext uri="{FF2B5EF4-FFF2-40B4-BE49-F238E27FC236}">
              <a16:creationId xmlns:a16="http://schemas.microsoft.com/office/drawing/2014/main" id="{9F05C563-1B31-4D30-81BA-FCF6E81C9CD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5500" y="33493073"/>
          <a:ext cx="152400" cy="152400"/>
        </a:xfrm>
        <a:prstGeom prst="rect">
          <a:avLst/>
        </a:prstGeom>
      </xdr:spPr>
    </xdr:pic>
    <xdr:clientData/>
  </xdr:oneCellAnchor>
  <xdr:oneCellAnchor>
    <xdr:from>
      <xdr:col>1</xdr:col>
      <xdr:colOff>63500</xdr:colOff>
      <xdr:row>191</xdr:row>
      <xdr:rowOff>12698</xdr:rowOff>
    </xdr:from>
    <xdr:ext cx="152400" cy="152400"/>
    <xdr:pic>
      <xdr:nvPicPr>
        <xdr:cNvPr id="189" name="image1.png">
          <a:extLst>
            <a:ext uri="{FF2B5EF4-FFF2-40B4-BE49-F238E27FC236}">
              <a16:creationId xmlns:a16="http://schemas.microsoft.com/office/drawing/2014/main" id="{8FFD99EE-BFFD-4A62-98C8-0BE1B33457A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5500" y="33664523"/>
          <a:ext cx="152400" cy="152400"/>
        </a:xfrm>
        <a:prstGeom prst="rect">
          <a:avLst/>
        </a:prstGeom>
      </xdr:spPr>
    </xdr:pic>
    <xdr:clientData/>
  </xdr:oneCellAnchor>
  <xdr:oneCellAnchor>
    <xdr:from>
      <xdr:col>1</xdr:col>
      <xdr:colOff>63500</xdr:colOff>
      <xdr:row>192</xdr:row>
      <xdr:rowOff>12698</xdr:rowOff>
    </xdr:from>
    <xdr:ext cx="152400" cy="152400"/>
    <xdr:pic>
      <xdr:nvPicPr>
        <xdr:cNvPr id="190" name="image1.png">
          <a:extLst>
            <a:ext uri="{FF2B5EF4-FFF2-40B4-BE49-F238E27FC236}">
              <a16:creationId xmlns:a16="http://schemas.microsoft.com/office/drawing/2014/main" id="{72877C65-7450-428F-BB48-B38D0463683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5500" y="33835973"/>
          <a:ext cx="152400" cy="152400"/>
        </a:xfrm>
        <a:prstGeom prst="rect">
          <a:avLst/>
        </a:prstGeom>
      </xdr:spPr>
    </xdr:pic>
    <xdr:clientData/>
  </xdr:oneCellAnchor>
  <xdr:oneCellAnchor>
    <xdr:from>
      <xdr:col>1</xdr:col>
      <xdr:colOff>63500</xdr:colOff>
      <xdr:row>193</xdr:row>
      <xdr:rowOff>12698</xdr:rowOff>
    </xdr:from>
    <xdr:ext cx="152400" cy="152400"/>
    <xdr:pic>
      <xdr:nvPicPr>
        <xdr:cNvPr id="191" name="image1.png">
          <a:extLst>
            <a:ext uri="{FF2B5EF4-FFF2-40B4-BE49-F238E27FC236}">
              <a16:creationId xmlns:a16="http://schemas.microsoft.com/office/drawing/2014/main" id="{4E51EEDA-06B5-4739-8D3E-B2E19C66287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5500" y="34007423"/>
          <a:ext cx="152400" cy="152400"/>
        </a:xfrm>
        <a:prstGeom prst="rect">
          <a:avLst/>
        </a:prstGeom>
      </xdr:spPr>
    </xdr:pic>
    <xdr:clientData/>
  </xdr:oneCellAnchor>
  <xdr:oneCellAnchor>
    <xdr:from>
      <xdr:col>1</xdr:col>
      <xdr:colOff>63500</xdr:colOff>
      <xdr:row>194</xdr:row>
      <xdr:rowOff>12698</xdr:rowOff>
    </xdr:from>
    <xdr:ext cx="152400" cy="152400"/>
    <xdr:pic>
      <xdr:nvPicPr>
        <xdr:cNvPr id="192" name="image1.png">
          <a:extLst>
            <a:ext uri="{FF2B5EF4-FFF2-40B4-BE49-F238E27FC236}">
              <a16:creationId xmlns:a16="http://schemas.microsoft.com/office/drawing/2014/main" id="{D614DD9D-1996-4BED-9326-4EA37EC8FBF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5500" y="34178873"/>
          <a:ext cx="152400" cy="152400"/>
        </a:xfrm>
        <a:prstGeom prst="rect">
          <a:avLst/>
        </a:prstGeom>
      </xdr:spPr>
    </xdr:pic>
    <xdr:clientData/>
  </xdr:oneCellAnchor>
  <xdr:oneCellAnchor>
    <xdr:from>
      <xdr:col>1</xdr:col>
      <xdr:colOff>63500</xdr:colOff>
      <xdr:row>195</xdr:row>
      <xdr:rowOff>12698</xdr:rowOff>
    </xdr:from>
    <xdr:ext cx="152400" cy="152400"/>
    <xdr:pic>
      <xdr:nvPicPr>
        <xdr:cNvPr id="193" name="image1.png">
          <a:extLst>
            <a:ext uri="{FF2B5EF4-FFF2-40B4-BE49-F238E27FC236}">
              <a16:creationId xmlns:a16="http://schemas.microsoft.com/office/drawing/2014/main" id="{0604413A-93D0-4D71-98E5-D2A4E8F2D8C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5500" y="34350323"/>
          <a:ext cx="152400" cy="152400"/>
        </a:xfrm>
        <a:prstGeom prst="rect">
          <a:avLst/>
        </a:prstGeom>
      </xdr:spPr>
    </xdr:pic>
    <xdr:clientData/>
  </xdr:oneCellAnchor>
  <xdr:oneCellAnchor>
    <xdr:from>
      <xdr:col>1</xdr:col>
      <xdr:colOff>63500</xdr:colOff>
      <xdr:row>196</xdr:row>
      <xdr:rowOff>12698</xdr:rowOff>
    </xdr:from>
    <xdr:ext cx="152400" cy="152400"/>
    <xdr:pic>
      <xdr:nvPicPr>
        <xdr:cNvPr id="194" name="image1.png">
          <a:extLst>
            <a:ext uri="{FF2B5EF4-FFF2-40B4-BE49-F238E27FC236}">
              <a16:creationId xmlns:a16="http://schemas.microsoft.com/office/drawing/2014/main" id="{91A07CB3-4963-46E4-B599-464120AF791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5500" y="34521773"/>
          <a:ext cx="152400" cy="152400"/>
        </a:xfrm>
        <a:prstGeom prst="rect">
          <a:avLst/>
        </a:prstGeom>
      </xdr:spPr>
    </xdr:pic>
    <xdr:clientData/>
  </xdr:oneCellAnchor>
  <xdr:oneCellAnchor>
    <xdr:from>
      <xdr:col>1</xdr:col>
      <xdr:colOff>63500</xdr:colOff>
      <xdr:row>197</xdr:row>
      <xdr:rowOff>12698</xdr:rowOff>
    </xdr:from>
    <xdr:ext cx="152400" cy="152400"/>
    <xdr:pic>
      <xdr:nvPicPr>
        <xdr:cNvPr id="195" name="image1.png">
          <a:extLst>
            <a:ext uri="{FF2B5EF4-FFF2-40B4-BE49-F238E27FC236}">
              <a16:creationId xmlns:a16="http://schemas.microsoft.com/office/drawing/2014/main" id="{FB04D8B2-9541-4946-A371-A5C396AFD08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5500" y="34693223"/>
          <a:ext cx="152400" cy="152400"/>
        </a:xfrm>
        <a:prstGeom prst="rect">
          <a:avLst/>
        </a:prstGeom>
      </xdr:spPr>
    </xdr:pic>
    <xdr:clientData/>
  </xdr:oneCellAnchor>
  <xdr:oneCellAnchor>
    <xdr:from>
      <xdr:col>1</xdr:col>
      <xdr:colOff>63500</xdr:colOff>
      <xdr:row>198</xdr:row>
      <xdr:rowOff>12698</xdr:rowOff>
    </xdr:from>
    <xdr:ext cx="152400" cy="152400"/>
    <xdr:pic>
      <xdr:nvPicPr>
        <xdr:cNvPr id="196" name="image1.png">
          <a:extLst>
            <a:ext uri="{FF2B5EF4-FFF2-40B4-BE49-F238E27FC236}">
              <a16:creationId xmlns:a16="http://schemas.microsoft.com/office/drawing/2014/main" id="{35387D1E-ED65-45EC-B73F-8D39ACFD269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5500" y="34864673"/>
          <a:ext cx="152400" cy="152400"/>
        </a:xfrm>
        <a:prstGeom prst="rect">
          <a:avLst/>
        </a:prstGeom>
      </xdr:spPr>
    </xdr:pic>
    <xdr:clientData/>
  </xdr:oneCellAnchor>
  <xdr:oneCellAnchor>
    <xdr:from>
      <xdr:col>1</xdr:col>
      <xdr:colOff>63500</xdr:colOff>
      <xdr:row>199</xdr:row>
      <xdr:rowOff>12698</xdr:rowOff>
    </xdr:from>
    <xdr:ext cx="152400" cy="152400"/>
    <xdr:pic>
      <xdr:nvPicPr>
        <xdr:cNvPr id="197" name="image1.png">
          <a:extLst>
            <a:ext uri="{FF2B5EF4-FFF2-40B4-BE49-F238E27FC236}">
              <a16:creationId xmlns:a16="http://schemas.microsoft.com/office/drawing/2014/main" id="{08E53B51-33A9-4A70-BB07-ABE76CAC046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5500" y="35036123"/>
          <a:ext cx="152400" cy="152400"/>
        </a:xfrm>
        <a:prstGeom prst="rect">
          <a:avLst/>
        </a:prstGeom>
      </xdr:spPr>
    </xdr:pic>
    <xdr:clientData/>
  </xdr:oneCellAnchor>
  <xdr:oneCellAnchor>
    <xdr:from>
      <xdr:col>1</xdr:col>
      <xdr:colOff>63500</xdr:colOff>
      <xdr:row>200</xdr:row>
      <xdr:rowOff>12698</xdr:rowOff>
    </xdr:from>
    <xdr:ext cx="152400" cy="152400"/>
    <xdr:pic>
      <xdr:nvPicPr>
        <xdr:cNvPr id="198" name="image1.png">
          <a:extLst>
            <a:ext uri="{FF2B5EF4-FFF2-40B4-BE49-F238E27FC236}">
              <a16:creationId xmlns:a16="http://schemas.microsoft.com/office/drawing/2014/main" id="{69BF4872-AD57-4BC1-92C8-4A09CF913FF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5500" y="35207573"/>
          <a:ext cx="152400" cy="152400"/>
        </a:xfrm>
        <a:prstGeom prst="rect">
          <a:avLst/>
        </a:prstGeom>
      </xdr:spPr>
    </xdr:pic>
    <xdr:clientData/>
  </xdr:oneCellAnchor>
  <xdr:oneCellAnchor>
    <xdr:from>
      <xdr:col>1</xdr:col>
      <xdr:colOff>63500</xdr:colOff>
      <xdr:row>201</xdr:row>
      <xdr:rowOff>12698</xdr:rowOff>
    </xdr:from>
    <xdr:ext cx="152400" cy="152400"/>
    <xdr:pic>
      <xdr:nvPicPr>
        <xdr:cNvPr id="199" name="image1.png">
          <a:extLst>
            <a:ext uri="{FF2B5EF4-FFF2-40B4-BE49-F238E27FC236}">
              <a16:creationId xmlns:a16="http://schemas.microsoft.com/office/drawing/2014/main" id="{6492AE2F-D0CE-4813-8BC9-2AF6EFF501E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5500" y="35379023"/>
          <a:ext cx="152400" cy="152400"/>
        </a:xfrm>
        <a:prstGeom prst="rect">
          <a:avLst/>
        </a:prstGeom>
      </xdr:spPr>
    </xdr:pic>
    <xdr:clientData/>
  </xdr:oneCellAnchor>
  <xdr:oneCellAnchor>
    <xdr:from>
      <xdr:col>1</xdr:col>
      <xdr:colOff>63500</xdr:colOff>
      <xdr:row>202</xdr:row>
      <xdr:rowOff>12698</xdr:rowOff>
    </xdr:from>
    <xdr:ext cx="152400" cy="152400"/>
    <xdr:pic>
      <xdr:nvPicPr>
        <xdr:cNvPr id="200" name="image1.png">
          <a:extLst>
            <a:ext uri="{FF2B5EF4-FFF2-40B4-BE49-F238E27FC236}">
              <a16:creationId xmlns:a16="http://schemas.microsoft.com/office/drawing/2014/main" id="{51BCFF60-D57F-481A-8A28-4EE4E3EC8F0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5500" y="35550473"/>
          <a:ext cx="152400" cy="152400"/>
        </a:xfrm>
        <a:prstGeom prst="rect">
          <a:avLst/>
        </a:prstGeom>
      </xdr:spPr>
    </xdr:pic>
    <xdr:clientData/>
  </xdr:oneCellAnchor>
  <xdr:oneCellAnchor>
    <xdr:from>
      <xdr:col>1</xdr:col>
      <xdr:colOff>63500</xdr:colOff>
      <xdr:row>203</xdr:row>
      <xdr:rowOff>12698</xdr:rowOff>
    </xdr:from>
    <xdr:ext cx="152400" cy="152400"/>
    <xdr:pic>
      <xdr:nvPicPr>
        <xdr:cNvPr id="201" name="image1.png">
          <a:extLst>
            <a:ext uri="{FF2B5EF4-FFF2-40B4-BE49-F238E27FC236}">
              <a16:creationId xmlns:a16="http://schemas.microsoft.com/office/drawing/2014/main" id="{5B7D0C5F-0B89-4648-BFBC-9483DC8EB1A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5500" y="35721923"/>
          <a:ext cx="152400" cy="152400"/>
        </a:xfrm>
        <a:prstGeom prst="rect">
          <a:avLst/>
        </a:prstGeom>
      </xdr:spPr>
    </xdr:pic>
    <xdr:clientData/>
  </xdr:oneCellAnchor>
  <xdr:oneCellAnchor>
    <xdr:from>
      <xdr:col>1</xdr:col>
      <xdr:colOff>63500</xdr:colOff>
      <xdr:row>204</xdr:row>
      <xdr:rowOff>12698</xdr:rowOff>
    </xdr:from>
    <xdr:ext cx="152400" cy="152400"/>
    <xdr:pic>
      <xdr:nvPicPr>
        <xdr:cNvPr id="202" name="image1.png">
          <a:extLst>
            <a:ext uri="{FF2B5EF4-FFF2-40B4-BE49-F238E27FC236}">
              <a16:creationId xmlns:a16="http://schemas.microsoft.com/office/drawing/2014/main" id="{58517778-678B-4D20-BBEB-7508813D348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5500" y="35893373"/>
          <a:ext cx="152400" cy="152400"/>
        </a:xfrm>
        <a:prstGeom prst="rect">
          <a:avLst/>
        </a:prstGeom>
      </xdr:spPr>
    </xdr:pic>
    <xdr:clientData/>
  </xdr:oneCellAnchor>
  <xdr:oneCellAnchor>
    <xdr:from>
      <xdr:col>1</xdr:col>
      <xdr:colOff>63500</xdr:colOff>
      <xdr:row>205</xdr:row>
      <xdr:rowOff>12698</xdr:rowOff>
    </xdr:from>
    <xdr:ext cx="152400" cy="152400"/>
    <xdr:pic>
      <xdr:nvPicPr>
        <xdr:cNvPr id="203" name="image1.png">
          <a:extLst>
            <a:ext uri="{FF2B5EF4-FFF2-40B4-BE49-F238E27FC236}">
              <a16:creationId xmlns:a16="http://schemas.microsoft.com/office/drawing/2014/main" id="{F60CB7B4-F1A4-45FC-97CF-DF23514C5C1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5500" y="36064823"/>
          <a:ext cx="152400" cy="152400"/>
        </a:xfrm>
        <a:prstGeom prst="rect">
          <a:avLst/>
        </a:prstGeom>
      </xdr:spPr>
    </xdr:pic>
    <xdr:clientData/>
  </xdr:oneCellAnchor>
  <xdr:oneCellAnchor>
    <xdr:from>
      <xdr:col>1</xdr:col>
      <xdr:colOff>63500</xdr:colOff>
      <xdr:row>206</xdr:row>
      <xdr:rowOff>12698</xdr:rowOff>
    </xdr:from>
    <xdr:ext cx="152400" cy="152400"/>
    <xdr:pic>
      <xdr:nvPicPr>
        <xdr:cNvPr id="204" name="image1.png">
          <a:extLst>
            <a:ext uri="{FF2B5EF4-FFF2-40B4-BE49-F238E27FC236}">
              <a16:creationId xmlns:a16="http://schemas.microsoft.com/office/drawing/2014/main" id="{9C261955-8A6F-4F52-8DE7-9914725E616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5500" y="36236273"/>
          <a:ext cx="152400" cy="152400"/>
        </a:xfrm>
        <a:prstGeom prst="rect">
          <a:avLst/>
        </a:prstGeom>
      </xdr:spPr>
    </xdr:pic>
    <xdr:clientData/>
  </xdr:oneCellAnchor>
  <xdr:oneCellAnchor>
    <xdr:from>
      <xdr:col>1</xdr:col>
      <xdr:colOff>63500</xdr:colOff>
      <xdr:row>207</xdr:row>
      <xdr:rowOff>12698</xdr:rowOff>
    </xdr:from>
    <xdr:ext cx="152400" cy="152400"/>
    <xdr:pic>
      <xdr:nvPicPr>
        <xdr:cNvPr id="205" name="image1.png">
          <a:extLst>
            <a:ext uri="{FF2B5EF4-FFF2-40B4-BE49-F238E27FC236}">
              <a16:creationId xmlns:a16="http://schemas.microsoft.com/office/drawing/2014/main" id="{8EB747AC-CD2F-4A25-94AC-6F730EDB14A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5500" y="36407723"/>
          <a:ext cx="152400" cy="152400"/>
        </a:xfrm>
        <a:prstGeom prst="rect">
          <a:avLst/>
        </a:prstGeom>
      </xdr:spPr>
    </xdr:pic>
    <xdr:clientData/>
  </xdr:oneCellAnchor>
  <xdr:oneCellAnchor>
    <xdr:from>
      <xdr:col>1</xdr:col>
      <xdr:colOff>63500</xdr:colOff>
      <xdr:row>208</xdr:row>
      <xdr:rowOff>12698</xdr:rowOff>
    </xdr:from>
    <xdr:ext cx="152400" cy="152400"/>
    <xdr:pic>
      <xdr:nvPicPr>
        <xdr:cNvPr id="206" name="image1.png">
          <a:extLst>
            <a:ext uri="{FF2B5EF4-FFF2-40B4-BE49-F238E27FC236}">
              <a16:creationId xmlns:a16="http://schemas.microsoft.com/office/drawing/2014/main" id="{0E36E7C8-D31B-40C3-97F6-D8CB9EA0D17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5500" y="36579173"/>
          <a:ext cx="152400" cy="152400"/>
        </a:xfrm>
        <a:prstGeom prst="rect">
          <a:avLst/>
        </a:prstGeom>
      </xdr:spPr>
    </xdr:pic>
    <xdr:clientData/>
  </xdr:oneCellAnchor>
  <xdr:oneCellAnchor>
    <xdr:from>
      <xdr:col>1</xdr:col>
      <xdr:colOff>63500</xdr:colOff>
      <xdr:row>209</xdr:row>
      <xdr:rowOff>12698</xdr:rowOff>
    </xdr:from>
    <xdr:ext cx="152400" cy="152400"/>
    <xdr:pic>
      <xdr:nvPicPr>
        <xdr:cNvPr id="207" name="image1.png">
          <a:extLst>
            <a:ext uri="{FF2B5EF4-FFF2-40B4-BE49-F238E27FC236}">
              <a16:creationId xmlns:a16="http://schemas.microsoft.com/office/drawing/2014/main" id="{E05C44F0-3220-47D2-8DD6-96239F0FBBF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5500" y="36750623"/>
          <a:ext cx="152400" cy="152400"/>
        </a:xfrm>
        <a:prstGeom prst="rect">
          <a:avLst/>
        </a:prstGeom>
      </xdr:spPr>
    </xdr:pic>
    <xdr:clientData/>
  </xdr:oneCellAnchor>
  <xdr:oneCellAnchor>
    <xdr:from>
      <xdr:col>1</xdr:col>
      <xdr:colOff>63500</xdr:colOff>
      <xdr:row>210</xdr:row>
      <xdr:rowOff>12698</xdr:rowOff>
    </xdr:from>
    <xdr:ext cx="152400" cy="152400"/>
    <xdr:pic>
      <xdr:nvPicPr>
        <xdr:cNvPr id="208" name="image1.png">
          <a:extLst>
            <a:ext uri="{FF2B5EF4-FFF2-40B4-BE49-F238E27FC236}">
              <a16:creationId xmlns:a16="http://schemas.microsoft.com/office/drawing/2014/main" id="{CDBEB9E1-E873-4E8A-874D-7A6D1163390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5500" y="36922073"/>
          <a:ext cx="152400" cy="152400"/>
        </a:xfrm>
        <a:prstGeom prst="rect">
          <a:avLst/>
        </a:prstGeom>
      </xdr:spPr>
    </xdr:pic>
    <xdr:clientData/>
  </xdr:oneCellAnchor>
  <xdr:oneCellAnchor>
    <xdr:from>
      <xdr:col>1</xdr:col>
      <xdr:colOff>63500</xdr:colOff>
      <xdr:row>211</xdr:row>
      <xdr:rowOff>12698</xdr:rowOff>
    </xdr:from>
    <xdr:ext cx="152400" cy="152400"/>
    <xdr:pic>
      <xdr:nvPicPr>
        <xdr:cNvPr id="209" name="image1.png">
          <a:extLst>
            <a:ext uri="{FF2B5EF4-FFF2-40B4-BE49-F238E27FC236}">
              <a16:creationId xmlns:a16="http://schemas.microsoft.com/office/drawing/2014/main" id="{ABB41B34-71BF-4C89-A14C-C27CF2918CC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5500" y="37093523"/>
          <a:ext cx="152400" cy="152400"/>
        </a:xfrm>
        <a:prstGeom prst="rect">
          <a:avLst/>
        </a:prstGeom>
      </xdr:spPr>
    </xdr:pic>
    <xdr:clientData/>
  </xdr:oneCellAnchor>
  <xdr:oneCellAnchor>
    <xdr:from>
      <xdr:col>1</xdr:col>
      <xdr:colOff>63500</xdr:colOff>
      <xdr:row>212</xdr:row>
      <xdr:rowOff>12698</xdr:rowOff>
    </xdr:from>
    <xdr:ext cx="152400" cy="152400"/>
    <xdr:pic>
      <xdr:nvPicPr>
        <xdr:cNvPr id="210" name="image1.png">
          <a:extLst>
            <a:ext uri="{FF2B5EF4-FFF2-40B4-BE49-F238E27FC236}">
              <a16:creationId xmlns:a16="http://schemas.microsoft.com/office/drawing/2014/main" id="{0A310B62-B457-4153-A151-7D3F2B80F10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5500" y="37264973"/>
          <a:ext cx="152400" cy="152400"/>
        </a:xfrm>
        <a:prstGeom prst="rect">
          <a:avLst/>
        </a:prstGeom>
      </xdr:spPr>
    </xdr:pic>
    <xdr:clientData/>
  </xdr:oneCellAnchor>
  <xdr:oneCellAnchor>
    <xdr:from>
      <xdr:col>1</xdr:col>
      <xdr:colOff>63500</xdr:colOff>
      <xdr:row>213</xdr:row>
      <xdr:rowOff>12698</xdr:rowOff>
    </xdr:from>
    <xdr:ext cx="152400" cy="152400"/>
    <xdr:pic>
      <xdr:nvPicPr>
        <xdr:cNvPr id="211" name="image1.png">
          <a:extLst>
            <a:ext uri="{FF2B5EF4-FFF2-40B4-BE49-F238E27FC236}">
              <a16:creationId xmlns:a16="http://schemas.microsoft.com/office/drawing/2014/main" id="{E400640C-E2FE-452D-B021-30D578C29C5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5500" y="37436423"/>
          <a:ext cx="152400" cy="152400"/>
        </a:xfrm>
        <a:prstGeom prst="rect">
          <a:avLst/>
        </a:prstGeom>
      </xdr:spPr>
    </xdr:pic>
    <xdr:clientData/>
  </xdr:oneCellAnchor>
  <xdr:oneCellAnchor>
    <xdr:from>
      <xdr:col>1</xdr:col>
      <xdr:colOff>63500</xdr:colOff>
      <xdr:row>214</xdr:row>
      <xdr:rowOff>12698</xdr:rowOff>
    </xdr:from>
    <xdr:ext cx="152400" cy="152400"/>
    <xdr:pic>
      <xdr:nvPicPr>
        <xdr:cNvPr id="212" name="image1.png">
          <a:extLst>
            <a:ext uri="{FF2B5EF4-FFF2-40B4-BE49-F238E27FC236}">
              <a16:creationId xmlns:a16="http://schemas.microsoft.com/office/drawing/2014/main" id="{5A90261C-0A1D-483D-ADAE-CDCAB5B8B29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5500" y="37607873"/>
          <a:ext cx="152400" cy="152400"/>
        </a:xfrm>
        <a:prstGeom prst="rect">
          <a:avLst/>
        </a:prstGeom>
      </xdr:spPr>
    </xdr:pic>
    <xdr:clientData/>
  </xdr:oneCellAnchor>
  <xdr:oneCellAnchor>
    <xdr:from>
      <xdr:col>1</xdr:col>
      <xdr:colOff>63500</xdr:colOff>
      <xdr:row>215</xdr:row>
      <xdr:rowOff>12698</xdr:rowOff>
    </xdr:from>
    <xdr:ext cx="152400" cy="152400"/>
    <xdr:pic>
      <xdr:nvPicPr>
        <xdr:cNvPr id="213" name="image1.png">
          <a:extLst>
            <a:ext uri="{FF2B5EF4-FFF2-40B4-BE49-F238E27FC236}">
              <a16:creationId xmlns:a16="http://schemas.microsoft.com/office/drawing/2014/main" id="{0A234279-C55B-4744-AA3C-4E06EB4C132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5500" y="37779323"/>
          <a:ext cx="152400" cy="152400"/>
        </a:xfrm>
        <a:prstGeom prst="rect">
          <a:avLst/>
        </a:prstGeom>
      </xdr:spPr>
    </xdr:pic>
    <xdr:clientData/>
  </xdr:oneCellAnchor>
  <xdr:oneCellAnchor>
    <xdr:from>
      <xdr:col>1</xdr:col>
      <xdr:colOff>63500</xdr:colOff>
      <xdr:row>216</xdr:row>
      <xdr:rowOff>12698</xdr:rowOff>
    </xdr:from>
    <xdr:ext cx="152400" cy="152400"/>
    <xdr:pic>
      <xdr:nvPicPr>
        <xdr:cNvPr id="214" name="image1.png">
          <a:extLst>
            <a:ext uri="{FF2B5EF4-FFF2-40B4-BE49-F238E27FC236}">
              <a16:creationId xmlns:a16="http://schemas.microsoft.com/office/drawing/2014/main" id="{12B27F7A-F182-40FF-89BC-23CDF39B649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5500" y="37950773"/>
          <a:ext cx="152400" cy="152400"/>
        </a:xfrm>
        <a:prstGeom prst="rect">
          <a:avLst/>
        </a:prstGeom>
      </xdr:spPr>
    </xdr:pic>
    <xdr:clientData/>
  </xdr:oneCellAnchor>
  <xdr:oneCellAnchor>
    <xdr:from>
      <xdr:col>1</xdr:col>
      <xdr:colOff>63500</xdr:colOff>
      <xdr:row>217</xdr:row>
      <xdr:rowOff>12698</xdr:rowOff>
    </xdr:from>
    <xdr:ext cx="152400" cy="152400"/>
    <xdr:pic>
      <xdr:nvPicPr>
        <xdr:cNvPr id="215" name="image1.png">
          <a:extLst>
            <a:ext uri="{FF2B5EF4-FFF2-40B4-BE49-F238E27FC236}">
              <a16:creationId xmlns:a16="http://schemas.microsoft.com/office/drawing/2014/main" id="{ABB4F56F-6064-44A9-8983-1F8D4CDA710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5500" y="38122223"/>
          <a:ext cx="152400" cy="152400"/>
        </a:xfrm>
        <a:prstGeom prst="rect">
          <a:avLst/>
        </a:prstGeom>
      </xdr:spPr>
    </xdr:pic>
    <xdr:clientData/>
  </xdr:oneCellAnchor>
  <xdr:oneCellAnchor>
    <xdr:from>
      <xdr:col>1</xdr:col>
      <xdr:colOff>63500</xdr:colOff>
      <xdr:row>218</xdr:row>
      <xdr:rowOff>12698</xdr:rowOff>
    </xdr:from>
    <xdr:ext cx="152400" cy="152400"/>
    <xdr:pic>
      <xdr:nvPicPr>
        <xdr:cNvPr id="216" name="image1.png">
          <a:extLst>
            <a:ext uri="{FF2B5EF4-FFF2-40B4-BE49-F238E27FC236}">
              <a16:creationId xmlns:a16="http://schemas.microsoft.com/office/drawing/2014/main" id="{FDA720E3-3B31-4154-88E5-BAF6319F611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5500" y="38293673"/>
          <a:ext cx="152400" cy="152400"/>
        </a:xfrm>
        <a:prstGeom prst="rect">
          <a:avLst/>
        </a:prstGeom>
      </xdr:spPr>
    </xdr:pic>
    <xdr:clientData/>
  </xdr:oneCellAnchor>
  <xdr:oneCellAnchor>
    <xdr:from>
      <xdr:col>1</xdr:col>
      <xdr:colOff>63500</xdr:colOff>
      <xdr:row>219</xdr:row>
      <xdr:rowOff>12698</xdr:rowOff>
    </xdr:from>
    <xdr:ext cx="152400" cy="152400"/>
    <xdr:pic>
      <xdr:nvPicPr>
        <xdr:cNvPr id="217" name="image1.png">
          <a:extLst>
            <a:ext uri="{FF2B5EF4-FFF2-40B4-BE49-F238E27FC236}">
              <a16:creationId xmlns:a16="http://schemas.microsoft.com/office/drawing/2014/main" id="{B7550F7E-A956-4D2A-BADD-4E4C8DC6F91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5500" y="38465123"/>
          <a:ext cx="152400" cy="152400"/>
        </a:xfrm>
        <a:prstGeom prst="rect">
          <a:avLst/>
        </a:prstGeom>
      </xdr:spPr>
    </xdr:pic>
    <xdr:clientData/>
  </xdr:oneCellAnchor>
  <xdr:oneCellAnchor>
    <xdr:from>
      <xdr:col>1</xdr:col>
      <xdr:colOff>63500</xdr:colOff>
      <xdr:row>220</xdr:row>
      <xdr:rowOff>12698</xdr:rowOff>
    </xdr:from>
    <xdr:ext cx="152400" cy="152400"/>
    <xdr:pic>
      <xdr:nvPicPr>
        <xdr:cNvPr id="218" name="image1.png">
          <a:extLst>
            <a:ext uri="{FF2B5EF4-FFF2-40B4-BE49-F238E27FC236}">
              <a16:creationId xmlns:a16="http://schemas.microsoft.com/office/drawing/2014/main" id="{1E5E6481-FC8C-4690-A8A5-CC942ECB2EF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5500" y="38636573"/>
          <a:ext cx="152400" cy="152400"/>
        </a:xfrm>
        <a:prstGeom prst="rect">
          <a:avLst/>
        </a:prstGeom>
      </xdr:spPr>
    </xdr:pic>
    <xdr:clientData/>
  </xdr:oneCellAnchor>
  <xdr:oneCellAnchor>
    <xdr:from>
      <xdr:col>1</xdr:col>
      <xdr:colOff>63500</xdr:colOff>
      <xdr:row>221</xdr:row>
      <xdr:rowOff>12698</xdr:rowOff>
    </xdr:from>
    <xdr:ext cx="152400" cy="152400"/>
    <xdr:pic>
      <xdr:nvPicPr>
        <xdr:cNvPr id="219" name="image1.png">
          <a:extLst>
            <a:ext uri="{FF2B5EF4-FFF2-40B4-BE49-F238E27FC236}">
              <a16:creationId xmlns:a16="http://schemas.microsoft.com/office/drawing/2014/main" id="{FCEF1945-A21E-452B-A9A5-BA16ED49850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5500" y="38808023"/>
          <a:ext cx="152400" cy="152400"/>
        </a:xfrm>
        <a:prstGeom prst="rect">
          <a:avLst/>
        </a:prstGeom>
      </xdr:spPr>
    </xdr:pic>
    <xdr:clientData/>
  </xdr:oneCellAnchor>
  <xdr:oneCellAnchor>
    <xdr:from>
      <xdr:col>1</xdr:col>
      <xdr:colOff>63500</xdr:colOff>
      <xdr:row>222</xdr:row>
      <xdr:rowOff>12698</xdr:rowOff>
    </xdr:from>
    <xdr:ext cx="152400" cy="152400"/>
    <xdr:pic>
      <xdr:nvPicPr>
        <xdr:cNvPr id="220" name="image1.png">
          <a:extLst>
            <a:ext uri="{FF2B5EF4-FFF2-40B4-BE49-F238E27FC236}">
              <a16:creationId xmlns:a16="http://schemas.microsoft.com/office/drawing/2014/main" id="{F0F0E15F-7E3F-4B47-9962-79535F08A5D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5500" y="38979473"/>
          <a:ext cx="152400" cy="152400"/>
        </a:xfrm>
        <a:prstGeom prst="rect">
          <a:avLst/>
        </a:prstGeom>
      </xdr:spPr>
    </xdr:pic>
    <xdr:clientData/>
  </xdr:oneCellAnchor>
  <xdr:oneCellAnchor>
    <xdr:from>
      <xdr:col>1</xdr:col>
      <xdr:colOff>63500</xdr:colOff>
      <xdr:row>223</xdr:row>
      <xdr:rowOff>12698</xdr:rowOff>
    </xdr:from>
    <xdr:ext cx="152400" cy="152400"/>
    <xdr:pic>
      <xdr:nvPicPr>
        <xdr:cNvPr id="221" name="image1.png">
          <a:extLst>
            <a:ext uri="{FF2B5EF4-FFF2-40B4-BE49-F238E27FC236}">
              <a16:creationId xmlns:a16="http://schemas.microsoft.com/office/drawing/2014/main" id="{A5D0A149-2040-4999-B975-0355E98FFB1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5500" y="39150923"/>
          <a:ext cx="152400" cy="152400"/>
        </a:xfrm>
        <a:prstGeom prst="rect">
          <a:avLst/>
        </a:prstGeom>
      </xdr:spPr>
    </xdr:pic>
    <xdr:clientData/>
  </xdr:oneCellAnchor>
  <xdr:oneCellAnchor>
    <xdr:from>
      <xdr:col>1</xdr:col>
      <xdr:colOff>63500</xdr:colOff>
      <xdr:row>224</xdr:row>
      <xdr:rowOff>12698</xdr:rowOff>
    </xdr:from>
    <xdr:ext cx="152400" cy="152400"/>
    <xdr:pic>
      <xdr:nvPicPr>
        <xdr:cNvPr id="222" name="image1.png">
          <a:extLst>
            <a:ext uri="{FF2B5EF4-FFF2-40B4-BE49-F238E27FC236}">
              <a16:creationId xmlns:a16="http://schemas.microsoft.com/office/drawing/2014/main" id="{4F4D3C02-B1C9-41C9-9FEB-F8DBD795CAC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5500" y="39322373"/>
          <a:ext cx="152400" cy="152400"/>
        </a:xfrm>
        <a:prstGeom prst="rect">
          <a:avLst/>
        </a:prstGeom>
      </xdr:spPr>
    </xdr:pic>
    <xdr:clientData/>
  </xdr:oneCellAnchor>
  <xdr:oneCellAnchor>
    <xdr:from>
      <xdr:col>1</xdr:col>
      <xdr:colOff>63500</xdr:colOff>
      <xdr:row>225</xdr:row>
      <xdr:rowOff>12698</xdr:rowOff>
    </xdr:from>
    <xdr:ext cx="152400" cy="152400"/>
    <xdr:pic>
      <xdr:nvPicPr>
        <xdr:cNvPr id="223" name="image1.png">
          <a:extLst>
            <a:ext uri="{FF2B5EF4-FFF2-40B4-BE49-F238E27FC236}">
              <a16:creationId xmlns:a16="http://schemas.microsoft.com/office/drawing/2014/main" id="{7A08887A-273D-4AED-9A6F-5BE8B31668F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5500" y="39493823"/>
          <a:ext cx="152400" cy="152400"/>
        </a:xfrm>
        <a:prstGeom prst="rect">
          <a:avLst/>
        </a:prstGeom>
      </xdr:spPr>
    </xdr:pic>
    <xdr:clientData/>
  </xdr:oneCellAnchor>
  <xdr:oneCellAnchor>
    <xdr:from>
      <xdr:col>1</xdr:col>
      <xdr:colOff>63500</xdr:colOff>
      <xdr:row>226</xdr:row>
      <xdr:rowOff>12698</xdr:rowOff>
    </xdr:from>
    <xdr:ext cx="152400" cy="152400"/>
    <xdr:pic>
      <xdr:nvPicPr>
        <xdr:cNvPr id="224" name="image1.png">
          <a:extLst>
            <a:ext uri="{FF2B5EF4-FFF2-40B4-BE49-F238E27FC236}">
              <a16:creationId xmlns:a16="http://schemas.microsoft.com/office/drawing/2014/main" id="{83F0D054-D400-4FC0-A758-2C2D360B205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5500" y="39665273"/>
          <a:ext cx="152400" cy="152400"/>
        </a:xfrm>
        <a:prstGeom prst="rect">
          <a:avLst/>
        </a:prstGeom>
      </xdr:spPr>
    </xdr:pic>
    <xdr:clientData/>
  </xdr:oneCellAnchor>
  <xdr:oneCellAnchor>
    <xdr:from>
      <xdr:col>1</xdr:col>
      <xdr:colOff>63500</xdr:colOff>
      <xdr:row>227</xdr:row>
      <xdr:rowOff>12698</xdr:rowOff>
    </xdr:from>
    <xdr:ext cx="152400" cy="152400"/>
    <xdr:pic>
      <xdr:nvPicPr>
        <xdr:cNvPr id="225" name="image1.png">
          <a:extLst>
            <a:ext uri="{FF2B5EF4-FFF2-40B4-BE49-F238E27FC236}">
              <a16:creationId xmlns:a16="http://schemas.microsoft.com/office/drawing/2014/main" id="{75C1602D-1404-4812-87F0-5D1CEB6B59A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5500" y="39836723"/>
          <a:ext cx="152400" cy="152400"/>
        </a:xfrm>
        <a:prstGeom prst="rect">
          <a:avLst/>
        </a:prstGeom>
      </xdr:spPr>
    </xdr:pic>
    <xdr:clientData/>
  </xdr:oneCellAnchor>
  <xdr:oneCellAnchor>
    <xdr:from>
      <xdr:col>1</xdr:col>
      <xdr:colOff>63500</xdr:colOff>
      <xdr:row>228</xdr:row>
      <xdr:rowOff>12698</xdr:rowOff>
    </xdr:from>
    <xdr:ext cx="152400" cy="152400"/>
    <xdr:pic>
      <xdr:nvPicPr>
        <xdr:cNvPr id="226" name="image1.png">
          <a:extLst>
            <a:ext uri="{FF2B5EF4-FFF2-40B4-BE49-F238E27FC236}">
              <a16:creationId xmlns:a16="http://schemas.microsoft.com/office/drawing/2014/main" id="{B4977783-DE2C-4DF7-A5EB-60B769C1E7A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5500" y="40008173"/>
          <a:ext cx="152400" cy="152400"/>
        </a:xfrm>
        <a:prstGeom prst="rect">
          <a:avLst/>
        </a:prstGeom>
      </xdr:spPr>
    </xdr:pic>
    <xdr:clientData/>
  </xdr:oneCellAnchor>
  <xdr:oneCellAnchor>
    <xdr:from>
      <xdr:col>1</xdr:col>
      <xdr:colOff>63500</xdr:colOff>
      <xdr:row>229</xdr:row>
      <xdr:rowOff>12698</xdr:rowOff>
    </xdr:from>
    <xdr:ext cx="152400" cy="152400"/>
    <xdr:pic>
      <xdr:nvPicPr>
        <xdr:cNvPr id="227" name="image1.png">
          <a:extLst>
            <a:ext uri="{FF2B5EF4-FFF2-40B4-BE49-F238E27FC236}">
              <a16:creationId xmlns:a16="http://schemas.microsoft.com/office/drawing/2014/main" id="{FAA8C909-2F7B-48BB-8658-8AABFBA898E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5500" y="40179623"/>
          <a:ext cx="152400" cy="152400"/>
        </a:xfrm>
        <a:prstGeom prst="rect">
          <a:avLst/>
        </a:prstGeom>
      </xdr:spPr>
    </xdr:pic>
    <xdr:clientData/>
  </xdr:oneCellAnchor>
  <xdr:oneCellAnchor>
    <xdr:from>
      <xdr:col>1</xdr:col>
      <xdr:colOff>63500</xdr:colOff>
      <xdr:row>230</xdr:row>
      <xdr:rowOff>12698</xdr:rowOff>
    </xdr:from>
    <xdr:ext cx="152400" cy="152400"/>
    <xdr:pic>
      <xdr:nvPicPr>
        <xdr:cNvPr id="228" name="image1.png">
          <a:extLst>
            <a:ext uri="{FF2B5EF4-FFF2-40B4-BE49-F238E27FC236}">
              <a16:creationId xmlns:a16="http://schemas.microsoft.com/office/drawing/2014/main" id="{01739053-F274-4E49-8D0C-214985DFA02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5500" y="40351073"/>
          <a:ext cx="152400" cy="152400"/>
        </a:xfrm>
        <a:prstGeom prst="rect">
          <a:avLst/>
        </a:prstGeom>
      </xdr:spPr>
    </xdr:pic>
    <xdr:clientData/>
  </xdr:oneCellAnchor>
  <xdr:oneCellAnchor>
    <xdr:from>
      <xdr:col>1</xdr:col>
      <xdr:colOff>63500</xdr:colOff>
      <xdr:row>231</xdr:row>
      <xdr:rowOff>12698</xdr:rowOff>
    </xdr:from>
    <xdr:ext cx="152400" cy="152400"/>
    <xdr:pic>
      <xdr:nvPicPr>
        <xdr:cNvPr id="229" name="image1.png">
          <a:extLst>
            <a:ext uri="{FF2B5EF4-FFF2-40B4-BE49-F238E27FC236}">
              <a16:creationId xmlns:a16="http://schemas.microsoft.com/office/drawing/2014/main" id="{0E5FD019-FB3F-41A9-A6EC-AFBBE7D70C4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5500" y="40522523"/>
          <a:ext cx="152400" cy="152400"/>
        </a:xfrm>
        <a:prstGeom prst="rect">
          <a:avLst/>
        </a:prstGeom>
      </xdr:spPr>
    </xdr:pic>
    <xdr:clientData/>
  </xdr:oneCellAnchor>
  <xdr:oneCellAnchor>
    <xdr:from>
      <xdr:col>1</xdr:col>
      <xdr:colOff>63500</xdr:colOff>
      <xdr:row>232</xdr:row>
      <xdr:rowOff>12698</xdr:rowOff>
    </xdr:from>
    <xdr:ext cx="152400" cy="152400"/>
    <xdr:pic>
      <xdr:nvPicPr>
        <xdr:cNvPr id="230" name="image1.png">
          <a:extLst>
            <a:ext uri="{FF2B5EF4-FFF2-40B4-BE49-F238E27FC236}">
              <a16:creationId xmlns:a16="http://schemas.microsoft.com/office/drawing/2014/main" id="{88779CEE-5AF5-4011-88F0-F345C3666B3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5500" y="40693973"/>
          <a:ext cx="152400" cy="152400"/>
        </a:xfrm>
        <a:prstGeom prst="rect">
          <a:avLst/>
        </a:prstGeom>
      </xdr:spPr>
    </xdr:pic>
    <xdr:clientData/>
  </xdr:oneCellAnchor>
  <xdr:oneCellAnchor>
    <xdr:from>
      <xdr:col>1</xdr:col>
      <xdr:colOff>63500</xdr:colOff>
      <xdr:row>233</xdr:row>
      <xdr:rowOff>12698</xdr:rowOff>
    </xdr:from>
    <xdr:ext cx="152400" cy="152400"/>
    <xdr:pic>
      <xdr:nvPicPr>
        <xdr:cNvPr id="231" name="image1.png">
          <a:extLst>
            <a:ext uri="{FF2B5EF4-FFF2-40B4-BE49-F238E27FC236}">
              <a16:creationId xmlns:a16="http://schemas.microsoft.com/office/drawing/2014/main" id="{FD3F52D6-8524-4986-B4B9-C4217AAAD90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5500" y="40865423"/>
          <a:ext cx="152400" cy="152400"/>
        </a:xfrm>
        <a:prstGeom prst="rect">
          <a:avLst/>
        </a:prstGeom>
      </xdr:spPr>
    </xdr:pic>
    <xdr:clientData/>
  </xdr:oneCellAnchor>
  <xdr:oneCellAnchor>
    <xdr:from>
      <xdr:col>1</xdr:col>
      <xdr:colOff>63500</xdr:colOff>
      <xdr:row>234</xdr:row>
      <xdr:rowOff>12698</xdr:rowOff>
    </xdr:from>
    <xdr:ext cx="152400" cy="152400"/>
    <xdr:pic>
      <xdr:nvPicPr>
        <xdr:cNvPr id="232" name="image1.png">
          <a:extLst>
            <a:ext uri="{FF2B5EF4-FFF2-40B4-BE49-F238E27FC236}">
              <a16:creationId xmlns:a16="http://schemas.microsoft.com/office/drawing/2014/main" id="{F09089CF-EC15-41F9-8D0A-0907175E747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5500" y="41036873"/>
          <a:ext cx="152400" cy="152400"/>
        </a:xfrm>
        <a:prstGeom prst="rect">
          <a:avLst/>
        </a:prstGeom>
      </xdr:spPr>
    </xdr:pic>
    <xdr:clientData/>
  </xdr:oneCellAnchor>
  <xdr:oneCellAnchor>
    <xdr:from>
      <xdr:col>1</xdr:col>
      <xdr:colOff>63500</xdr:colOff>
      <xdr:row>235</xdr:row>
      <xdr:rowOff>12698</xdr:rowOff>
    </xdr:from>
    <xdr:ext cx="152400" cy="152400"/>
    <xdr:pic>
      <xdr:nvPicPr>
        <xdr:cNvPr id="233" name="image1.png">
          <a:extLst>
            <a:ext uri="{FF2B5EF4-FFF2-40B4-BE49-F238E27FC236}">
              <a16:creationId xmlns:a16="http://schemas.microsoft.com/office/drawing/2014/main" id="{DF4A3782-5E95-4F7F-90CB-A6C78CAFCD0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5500" y="41208323"/>
          <a:ext cx="152400" cy="152400"/>
        </a:xfrm>
        <a:prstGeom prst="rect">
          <a:avLst/>
        </a:prstGeom>
      </xdr:spPr>
    </xdr:pic>
    <xdr:clientData/>
  </xdr:oneCellAnchor>
  <xdr:oneCellAnchor>
    <xdr:from>
      <xdr:col>1</xdr:col>
      <xdr:colOff>63500</xdr:colOff>
      <xdr:row>236</xdr:row>
      <xdr:rowOff>12698</xdr:rowOff>
    </xdr:from>
    <xdr:ext cx="152400" cy="152400"/>
    <xdr:pic>
      <xdr:nvPicPr>
        <xdr:cNvPr id="234" name="image1.png">
          <a:extLst>
            <a:ext uri="{FF2B5EF4-FFF2-40B4-BE49-F238E27FC236}">
              <a16:creationId xmlns:a16="http://schemas.microsoft.com/office/drawing/2014/main" id="{A22BCAC2-B057-4272-A243-711F8644CCC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5500" y="41379773"/>
          <a:ext cx="152400" cy="152400"/>
        </a:xfrm>
        <a:prstGeom prst="rect">
          <a:avLst/>
        </a:prstGeom>
      </xdr:spPr>
    </xdr:pic>
    <xdr:clientData/>
  </xdr:oneCellAnchor>
  <xdr:oneCellAnchor>
    <xdr:from>
      <xdr:col>1</xdr:col>
      <xdr:colOff>63500</xdr:colOff>
      <xdr:row>237</xdr:row>
      <xdr:rowOff>12698</xdr:rowOff>
    </xdr:from>
    <xdr:ext cx="152400" cy="152400"/>
    <xdr:pic>
      <xdr:nvPicPr>
        <xdr:cNvPr id="235" name="image1.png">
          <a:extLst>
            <a:ext uri="{FF2B5EF4-FFF2-40B4-BE49-F238E27FC236}">
              <a16:creationId xmlns:a16="http://schemas.microsoft.com/office/drawing/2014/main" id="{0BAB1C6C-514B-4C6D-84F6-79D7E6590E5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5500" y="41551223"/>
          <a:ext cx="152400" cy="152400"/>
        </a:xfrm>
        <a:prstGeom prst="rect">
          <a:avLst/>
        </a:prstGeom>
      </xdr:spPr>
    </xdr:pic>
    <xdr:clientData/>
  </xdr:oneCellAnchor>
  <xdr:oneCellAnchor>
    <xdr:from>
      <xdr:col>1</xdr:col>
      <xdr:colOff>63500</xdr:colOff>
      <xdr:row>238</xdr:row>
      <xdr:rowOff>12698</xdr:rowOff>
    </xdr:from>
    <xdr:ext cx="152400" cy="152400"/>
    <xdr:pic>
      <xdr:nvPicPr>
        <xdr:cNvPr id="236" name="image1.png">
          <a:extLst>
            <a:ext uri="{FF2B5EF4-FFF2-40B4-BE49-F238E27FC236}">
              <a16:creationId xmlns:a16="http://schemas.microsoft.com/office/drawing/2014/main" id="{133885DF-B5FD-446D-BA71-3BED6340927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5500" y="41722673"/>
          <a:ext cx="152400" cy="152400"/>
        </a:xfrm>
        <a:prstGeom prst="rect">
          <a:avLst/>
        </a:prstGeom>
      </xdr:spPr>
    </xdr:pic>
    <xdr:clientData/>
  </xdr:oneCellAnchor>
  <xdr:oneCellAnchor>
    <xdr:from>
      <xdr:col>1</xdr:col>
      <xdr:colOff>63500</xdr:colOff>
      <xdr:row>239</xdr:row>
      <xdr:rowOff>12698</xdr:rowOff>
    </xdr:from>
    <xdr:ext cx="152400" cy="152400"/>
    <xdr:pic>
      <xdr:nvPicPr>
        <xdr:cNvPr id="237" name="image1.png">
          <a:extLst>
            <a:ext uri="{FF2B5EF4-FFF2-40B4-BE49-F238E27FC236}">
              <a16:creationId xmlns:a16="http://schemas.microsoft.com/office/drawing/2014/main" id="{2DF7ACF0-4652-4DAE-8DF8-2623FF432A8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5500" y="41894123"/>
          <a:ext cx="152400" cy="152400"/>
        </a:xfrm>
        <a:prstGeom prst="rect">
          <a:avLst/>
        </a:prstGeom>
      </xdr:spPr>
    </xdr:pic>
    <xdr:clientData/>
  </xdr:oneCellAnchor>
  <xdr:oneCellAnchor>
    <xdr:from>
      <xdr:col>1</xdr:col>
      <xdr:colOff>63500</xdr:colOff>
      <xdr:row>240</xdr:row>
      <xdr:rowOff>12698</xdr:rowOff>
    </xdr:from>
    <xdr:ext cx="152400" cy="152400"/>
    <xdr:pic>
      <xdr:nvPicPr>
        <xdr:cNvPr id="238" name="image1.png">
          <a:extLst>
            <a:ext uri="{FF2B5EF4-FFF2-40B4-BE49-F238E27FC236}">
              <a16:creationId xmlns:a16="http://schemas.microsoft.com/office/drawing/2014/main" id="{09B4F8F0-44BD-4E26-B2F4-4D78E644BBF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5500" y="42065573"/>
          <a:ext cx="152400" cy="152400"/>
        </a:xfrm>
        <a:prstGeom prst="rect">
          <a:avLst/>
        </a:prstGeom>
      </xdr:spPr>
    </xdr:pic>
    <xdr:clientData/>
  </xdr:oneCellAnchor>
  <xdr:oneCellAnchor>
    <xdr:from>
      <xdr:col>1</xdr:col>
      <xdr:colOff>63500</xdr:colOff>
      <xdr:row>241</xdr:row>
      <xdr:rowOff>12698</xdr:rowOff>
    </xdr:from>
    <xdr:ext cx="152400" cy="152400"/>
    <xdr:pic>
      <xdr:nvPicPr>
        <xdr:cNvPr id="239" name="image1.png">
          <a:extLst>
            <a:ext uri="{FF2B5EF4-FFF2-40B4-BE49-F238E27FC236}">
              <a16:creationId xmlns:a16="http://schemas.microsoft.com/office/drawing/2014/main" id="{9C3DD1F2-33FA-4CF8-888B-15D3E99EB34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5500" y="42237023"/>
          <a:ext cx="152400" cy="152400"/>
        </a:xfrm>
        <a:prstGeom prst="rect">
          <a:avLst/>
        </a:prstGeom>
      </xdr:spPr>
    </xdr:pic>
    <xdr:clientData/>
  </xdr:oneCellAnchor>
  <xdr:oneCellAnchor>
    <xdr:from>
      <xdr:col>1</xdr:col>
      <xdr:colOff>63500</xdr:colOff>
      <xdr:row>242</xdr:row>
      <xdr:rowOff>12698</xdr:rowOff>
    </xdr:from>
    <xdr:ext cx="152400" cy="152400"/>
    <xdr:pic>
      <xdr:nvPicPr>
        <xdr:cNvPr id="240" name="image1.png">
          <a:extLst>
            <a:ext uri="{FF2B5EF4-FFF2-40B4-BE49-F238E27FC236}">
              <a16:creationId xmlns:a16="http://schemas.microsoft.com/office/drawing/2014/main" id="{CE19D36E-EEB6-47FC-B982-F6EDA3C6816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5500" y="42408473"/>
          <a:ext cx="152400" cy="152400"/>
        </a:xfrm>
        <a:prstGeom prst="rect">
          <a:avLst/>
        </a:prstGeom>
      </xdr:spPr>
    </xdr:pic>
    <xdr:clientData/>
  </xdr:oneCellAnchor>
  <xdr:oneCellAnchor>
    <xdr:from>
      <xdr:col>1</xdr:col>
      <xdr:colOff>63500</xdr:colOff>
      <xdr:row>243</xdr:row>
      <xdr:rowOff>12698</xdr:rowOff>
    </xdr:from>
    <xdr:ext cx="152400" cy="152400"/>
    <xdr:pic>
      <xdr:nvPicPr>
        <xdr:cNvPr id="241" name="image1.png">
          <a:extLst>
            <a:ext uri="{FF2B5EF4-FFF2-40B4-BE49-F238E27FC236}">
              <a16:creationId xmlns:a16="http://schemas.microsoft.com/office/drawing/2014/main" id="{E00C9F7D-184A-458A-B4F2-7101D38F415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5500" y="42579923"/>
          <a:ext cx="152400" cy="152400"/>
        </a:xfrm>
        <a:prstGeom prst="rect">
          <a:avLst/>
        </a:prstGeom>
      </xdr:spPr>
    </xdr:pic>
    <xdr:clientData/>
  </xdr:oneCellAnchor>
  <xdr:oneCellAnchor>
    <xdr:from>
      <xdr:col>1</xdr:col>
      <xdr:colOff>63500</xdr:colOff>
      <xdr:row>244</xdr:row>
      <xdr:rowOff>12698</xdr:rowOff>
    </xdr:from>
    <xdr:ext cx="152400" cy="152400"/>
    <xdr:pic>
      <xdr:nvPicPr>
        <xdr:cNvPr id="242" name="image1.png">
          <a:extLst>
            <a:ext uri="{FF2B5EF4-FFF2-40B4-BE49-F238E27FC236}">
              <a16:creationId xmlns:a16="http://schemas.microsoft.com/office/drawing/2014/main" id="{0165E77D-69E9-41AC-B9A2-BDEC64CDBAB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5500" y="42751373"/>
          <a:ext cx="152400" cy="152400"/>
        </a:xfrm>
        <a:prstGeom prst="rect">
          <a:avLst/>
        </a:prstGeom>
      </xdr:spPr>
    </xdr:pic>
    <xdr:clientData/>
  </xdr:oneCellAnchor>
  <xdr:oneCellAnchor>
    <xdr:from>
      <xdr:col>1</xdr:col>
      <xdr:colOff>63500</xdr:colOff>
      <xdr:row>245</xdr:row>
      <xdr:rowOff>12698</xdr:rowOff>
    </xdr:from>
    <xdr:ext cx="152400" cy="152400"/>
    <xdr:pic>
      <xdr:nvPicPr>
        <xdr:cNvPr id="243" name="image1.png">
          <a:extLst>
            <a:ext uri="{FF2B5EF4-FFF2-40B4-BE49-F238E27FC236}">
              <a16:creationId xmlns:a16="http://schemas.microsoft.com/office/drawing/2014/main" id="{CFB25E35-99E1-4973-A5CE-AACD3893D48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5500" y="42922823"/>
          <a:ext cx="152400" cy="152400"/>
        </a:xfrm>
        <a:prstGeom prst="rect">
          <a:avLst/>
        </a:prstGeom>
      </xdr:spPr>
    </xdr:pic>
    <xdr:clientData/>
  </xdr:oneCellAnchor>
  <xdr:oneCellAnchor>
    <xdr:from>
      <xdr:col>1</xdr:col>
      <xdr:colOff>63500</xdr:colOff>
      <xdr:row>246</xdr:row>
      <xdr:rowOff>12698</xdr:rowOff>
    </xdr:from>
    <xdr:ext cx="152400" cy="152400"/>
    <xdr:pic>
      <xdr:nvPicPr>
        <xdr:cNvPr id="244" name="image1.png">
          <a:extLst>
            <a:ext uri="{FF2B5EF4-FFF2-40B4-BE49-F238E27FC236}">
              <a16:creationId xmlns:a16="http://schemas.microsoft.com/office/drawing/2014/main" id="{98C25E74-0834-420E-9A72-FCF11869ECD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5500" y="43094273"/>
          <a:ext cx="152400" cy="152400"/>
        </a:xfrm>
        <a:prstGeom prst="rect">
          <a:avLst/>
        </a:prstGeom>
      </xdr:spPr>
    </xdr:pic>
    <xdr:clientData/>
  </xdr:oneCellAnchor>
  <xdr:oneCellAnchor>
    <xdr:from>
      <xdr:col>1</xdr:col>
      <xdr:colOff>63500</xdr:colOff>
      <xdr:row>247</xdr:row>
      <xdr:rowOff>12698</xdr:rowOff>
    </xdr:from>
    <xdr:ext cx="152400" cy="152400"/>
    <xdr:pic>
      <xdr:nvPicPr>
        <xdr:cNvPr id="245" name="image1.png">
          <a:extLst>
            <a:ext uri="{FF2B5EF4-FFF2-40B4-BE49-F238E27FC236}">
              <a16:creationId xmlns:a16="http://schemas.microsoft.com/office/drawing/2014/main" id="{EA50D025-7F35-4980-99FB-7F1EB0D12A0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5500" y="43265723"/>
          <a:ext cx="152400" cy="152400"/>
        </a:xfrm>
        <a:prstGeom prst="rect">
          <a:avLst/>
        </a:prstGeom>
      </xdr:spPr>
    </xdr:pic>
    <xdr:clientData/>
  </xdr:oneCellAnchor>
  <xdr:oneCellAnchor>
    <xdr:from>
      <xdr:col>1</xdr:col>
      <xdr:colOff>63500</xdr:colOff>
      <xdr:row>248</xdr:row>
      <xdr:rowOff>12698</xdr:rowOff>
    </xdr:from>
    <xdr:ext cx="152400" cy="152400"/>
    <xdr:pic>
      <xdr:nvPicPr>
        <xdr:cNvPr id="246" name="image1.png">
          <a:extLst>
            <a:ext uri="{FF2B5EF4-FFF2-40B4-BE49-F238E27FC236}">
              <a16:creationId xmlns:a16="http://schemas.microsoft.com/office/drawing/2014/main" id="{BAF7AA63-49C4-4BA7-9570-B01751A5A65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5500" y="43437173"/>
          <a:ext cx="152400" cy="152400"/>
        </a:xfrm>
        <a:prstGeom prst="rect">
          <a:avLst/>
        </a:prstGeom>
      </xdr:spPr>
    </xdr:pic>
    <xdr:clientData/>
  </xdr:oneCellAnchor>
  <xdr:oneCellAnchor>
    <xdr:from>
      <xdr:col>1</xdr:col>
      <xdr:colOff>63500</xdr:colOff>
      <xdr:row>249</xdr:row>
      <xdr:rowOff>12698</xdr:rowOff>
    </xdr:from>
    <xdr:ext cx="152400" cy="152400"/>
    <xdr:pic>
      <xdr:nvPicPr>
        <xdr:cNvPr id="247" name="image1.png">
          <a:extLst>
            <a:ext uri="{FF2B5EF4-FFF2-40B4-BE49-F238E27FC236}">
              <a16:creationId xmlns:a16="http://schemas.microsoft.com/office/drawing/2014/main" id="{59F352B7-3957-42DD-A4BD-B5F0A4C9D32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5500" y="43608623"/>
          <a:ext cx="152400" cy="152400"/>
        </a:xfrm>
        <a:prstGeom prst="rect">
          <a:avLst/>
        </a:prstGeom>
      </xdr:spPr>
    </xdr:pic>
    <xdr:clientData/>
  </xdr:oneCellAnchor>
  <xdr:oneCellAnchor>
    <xdr:from>
      <xdr:col>1</xdr:col>
      <xdr:colOff>63500</xdr:colOff>
      <xdr:row>250</xdr:row>
      <xdr:rowOff>12698</xdr:rowOff>
    </xdr:from>
    <xdr:ext cx="152400" cy="152400"/>
    <xdr:pic>
      <xdr:nvPicPr>
        <xdr:cNvPr id="248" name="image1.png">
          <a:extLst>
            <a:ext uri="{FF2B5EF4-FFF2-40B4-BE49-F238E27FC236}">
              <a16:creationId xmlns:a16="http://schemas.microsoft.com/office/drawing/2014/main" id="{913CDE7A-D48B-4C88-A676-B92C9CCDAA9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5500" y="43780073"/>
          <a:ext cx="152400" cy="152400"/>
        </a:xfrm>
        <a:prstGeom prst="rect">
          <a:avLst/>
        </a:prstGeom>
      </xdr:spPr>
    </xdr:pic>
    <xdr:clientData/>
  </xdr:oneCellAnchor>
  <xdr:oneCellAnchor>
    <xdr:from>
      <xdr:col>1</xdr:col>
      <xdr:colOff>63500</xdr:colOff>
      <xdr:row>251</xdr:row>
      <xdr:rowOff>12698</xdr:rowOff>
    </xdr:from>
    <xdr:ext cx="152400" cy="152400"/>
    <xdr:pic>
      <xdr:nvPicPr>
        <xdr:cNvPr id="249" name="image1.png">
          <a:extLst>
            <a:ext uri="{FF2B5EF4-FFF2-40B4-BE49-F238E27FC236}">
              <a16:creationId xmlns:a16="http://schemas.microsoft.com/office/drawing/2014/main" id="{B42B36E6-E0CF-4E33-9793-FD76E79EDE5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5500" y="43951523"/>
          <a:ext cx="152400" cy="152400"/>
        </a:xfrm>
        <a:prstGeom prst="rect">
          <a:avLst/>
        </a:prstGeom>
      </xdr:spPr>
    </xdr:pic>
    <xdr:clientData/>
  </xdr:oneCellAnchor>
  <xdr:oneCellAnchor>
    <xdr:from>
      <xdr:col>1</xdr:col>
      <xdr:colOff>63500</xdr:colOff>
      <xdr:row>252</xdr:row>
      <xdr:rowOff>12698</xdr:rowOff>
    </xdr:from>
    <xdr:ext cx="152400" cy="152400"/>
    <xdr:pic>
      <xdr:nvPicPr>
        <xdr:cNvPr id="250" name="image1.png">
          <a:extLst>
            <a:ext uri="{FF2B5EF4-FFF2-40B4-BE49-F238E27FC236}">
              <a16:creationId xmlns:a16="http://schemas.microsoft.com/office/drawing/2014/main" id="{4B09DE1D-BD9F-4045-A4A2-9FED99DA123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5500" y="44122973"/>
          <a:ext cx="152400" cy="152400"/>
        </a:xfrm>
        <a:prstGeom prst="rect">
          <a:avLst/>
        </a:prstGeom>
      </xdr:spPr>
    </xdr:pic>
    <xdr:clientData/>
  </xdr:oneCellAnchor>
  <xdr:oneCellAnchor>
    <xdr:from>
      <xdr:col>1</xdr:col>
      <xdr:colOff>63500</xdr:colOff>
      <xdr:row>253</xdr:row>
      <xdr:rowOff>12698</xdr:rowOff>
    </xdr:from>
    <xdr:ext cx="152400" cy="152400"/>
    <xdr:pic>
      <xdr:nvPicPr>
        <xdr:cNvPr id="251" name="image1.png">
          <a:extLst>
            <a:ext uri="{FF2B5EF4-FFF2-40B4-BE49-F238E27FC236}">
              <a16:creationId xmlns:a16="http://schemas.microsoft.com/office/drawing/2014/main" id="{F48A3E71-A992-4034-99C3-BFFCF66DBAB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5500" y="44294423"/>
          <a:ext cx="152400" cy="152400"/>
        </a:xfrm>
        <a:prstGeom prst="rect">
          <a:avLst/>
        </a:prstGeom>
      </xdr:spPr>
    </xdr:pic>
    <xdr:clientData/>
  </xdr:oneCellAnchor>
  <xdr:oneCellAnchor>
    <xdr:from>
      <xdr:col>1</xdr:col>
      <xdr:colOff>63500</xdr:colOff>
      <xdr:row>254</xdr:row>
      <xdr:rowOff>12698</xdr:rowOff>
    </xdr:from>
    <xdr:ext cx="152400" cy="152400"/>
    <xdr:pic>
      <xdr:nvPicPr>
        <xdr:cNvPr id="252" name="image1.png">
          <a:extLst>
            <a:ext uri="{FF2B5EF4-FFF2-40B4-BE49-F238E27FC236}">
              <a16:creationId xmlns:a16="http://schemas.microsoft.com/office/drawing/2014/main" id="{F8567D13-0465-46AC-AA1B-36A2ACFAC77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5500" y="44465873"/>
          <a:ext cx="152400" cy="152400"/>
        </a:xfrm>
        <a:prstGeom prst="rect">
          <a:avLst/>
        </a:prstGeom>
      </xdr:spPr>
    </xdr:pic>
    <xdr:clientData/>
  </xdr:oneCellAnchor>
  <xdr:oneCellAnchor>
    <xdr:from>
      <xdr:col>1</xdr:col>
      <xdr:colOff>63500</xdr:colOff>
      <xdr:row>255</xdr:row>
      <xdr:rowOff>12698</xdr:rowOff>
    </xdr:from>
    <xdr:ext cx="152400" cy="152400"/>
    <xdr:pic>
      <xdr:nvPicPr>
        <xdr:cNvPr id="253" name="image1.png">
          <a:extLst>
            <a:ext uri="{FF2B5EF4-FFF2-40B4-BE49-F238E27FC236}">
              <a16:creationId xmlns:a16="http://schemas.microsoft.com/office/drawing/2014/main" id="{33DA8344-3106-4F7C-A4B6-3E1A055A47B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5500" y="44637323"/>
          <a:ext cx="152400" cy="152400"/>
        </a:xfrm>
        <a:prstGeom prst="rect">
          <a:avLst/>
        </a:prstGeom>
      </xdr:spPr>
    </xdr:pic>
    <xdr:clientData/>
  </xdr:oneCellAnchor>
  <xdr:oneCellAnchor>
    <xdr:from>
      <xdr:col>1</xdr:col>
      <xdr:colOff>63500</xdr:colOff>
      <xdr:row>256</xdr:row>
      <xdr:rowOff>12698</xdr:rowOff>
    </xdr:from>
    <xdr:ext cx="152400" cy="152400"/>
    <xdr:pic>
      <xdr:nvPicPr>
        <xdr:cNvPr id="254" name="image1.png">
          <a:extLst>
            <a:ext uri="{FF2B5EF4-FFF2-40B4-BE49-F238E27FC236}">
              <a16:creationId xmlns:a16="http://schemas.microsoft.com/office/drawing/2014/main" id="{174CF6B8-22B8-44C0-BF78-149C0DE99CA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5500" y="44808773"/>
          <a:ext cx="152400" cy="152400"/>
        </a:xfrm>
        <a:prstGeom prst="rect">
          <a:avLst/>
        </a:prstGeom>
      </xdr:spPr>
    </xdr:pic>
    <xdr:clientData/>
  </xdr:oneCellAnchor>
  <xdr:oneCellAnchor>
    <xdr:from>
      <xdr:col>1</xdr:col>
      <xdr:colOff>63500</xdr:colOff>
      <xdr:row>257</xdr:row>
      <xdr:rowOff>12698</xdr:rowOff>
    </xdr:from>
    <xdr:ext cx="152400" cy="152400"/>
    <xdr:pic>
      <xdr:nvPicPr>
        <xdr:cNvPr id="255" name="image1.png">
          <a:extLst>
            <a:ext uri="{FF2B5EF4-FFF2-40B4-BE49-F238E27FC236}">
              <a16:creationId xmlns:a16="http://schemas.microsoft.com/office/drawing/2014/main" id="{09E82BBA-393E-4950-B739-F1FAB0F438C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5500" y="44980223"/>
          <a:ext cx="152400" cy="152400"/>
        </a:xfrm>
        <a:prstGeom prst="rect">
          <a:avLst/>
        </a:prstGeom>
      </xdr:spPr>
    </xdr:pic>
    <xdr:clientData/>
  </xdr:oneCellAnchor>
  <xdr:oneCellAnchor>
    <xdr:from>
      <xdr:col>1</xdr:col>
      <xdr:colOff>63500</xdr:colOff>
      <xdr:row>258</xdr:row>
      <xdr:rowOff>12698</xdr:rowOff>
    </xdr:from>
    <xdr:ext cx="152400" cy="152400"/>
    <xdr:pic>
      <xdr:nvPicPr>
        <xdr:cNvPr id="256" name="image1.png">
          <a:extLst>
            <a:ext uri="{FF2B5EF4-FFF2-40B4-BE49-F238E27FC236}">
              <a16:creationId xmlns:a16="http://schemas.microsoft.com/office/drawing/2014/main" id="{201444BB-F57A-4F3B-9996-3F8253E4F05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5500" y="45151673"/>
          <a:ext cx="152400" cy="152400"/>
        </a:xfrm>
        <a:prstGeom prst="rect">
          <a:avLst/>
        </a:prstGeom>
      </xdr:spPr>
    </xdr:pic>
    <xdr:clientData/>
  </xdr:oneCellAnchor>
  <xdr:oneCellAnchor>
    <xdr:from>
      <xdr:col>1</xdr:col>
      <xdr:colOff>63500</xdr:colOff>
      <xdr:row>259</xdr:row>
      <xdr:rowOff>12698</xdr:rowOff>
    </xdr:from>
    <xdr:ext cx="152400" cy="152400"/>
    <xdr:pic>
      <xdr:nvPicPr>
        <xdr:cNvPr id="257" name="image1.png">
          <a:extLst>
            <a:ext uri="{FF2B5EF4-FFF2-40B4-BE49-F238E27FC236}">
              <a16:creationId xmlns:a16="http://schemas.microsoft.com/office/drawing/2014/main" id="{020542DF-0D06-4C6B-9AAA-1316BF6D613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5500" y="45323123"/>
          <a:ext cx="152400" cy="152400"/>
        </a:xfrm>
        <a:prstGeom prst="rect">
          <a:avLst/>
        </a:prstGeom>
      </xdr:spPr>
    </xdr:pic>
    <xdr:clientData/>
  </xdr:oneCellAnchor>
  <xdr:oneCellAnchor>
    <xdr:from>
      <xdr:col>1</xdr:col>
      <xdr:colOff>63500</xdr:colOff>
      <xdr:row>260</xdr:row>
      <xdr:rowOff>12698</xdr:rowOff>
    </xdr:from>
    <xdr:ext cx="152400" cy="152400"/>
    <xdr:pic>
      <xdr:nvPicPr>
        <xdr:cNvPr id="258" name="image1.png">
          <a:extLst>
            <a:ext uri="{FF2B5EF4-FFF2-40B4-BE49-F238E27FC236}">
              <a16:creationId xmlns:a16="http://schemas.microsoft.com/office/drawing/2014/main" id="{FDD97B81-FABF-4988-99B6-0E28596BCC4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5500" y="45494573"/>
          <a:ext cx="152400" cy="152400"/>
        </a:xfrm>
        <a:prstGeom prst="rect">
          <a:avLst/>
        </a:prstGeom>
      </xdr:spPr>
    </xdr:pic>
    <xdr:clientData/>
  </xdr:oneCellAnchor>
  <xdr:oneCellAnchor>
    <xdr:from>
      <xdr:col>1</xdr:col>
      <xdr:colOff>63500</xdr:colOff>
      <xdr:row>261</xdr:row>
      <xdr:rowOff>12698</xdr:rowOff>
    </xdr:from>
    <xdr:ext cx="152400" cy="152400"/>
    <xdr:pic>
      <xdr:nvPicPr>
        <xdr:cNvPr id="259" name="image1.png">
          <a:extLst>
            <a:ext uri="{FF2B5EF4-FFF2-40B4-BE49-F238E27FC236}">
              <a16:creationId xmlns:a16="http://schemas.microsoft.com/office/drawing/2014/main" id="{B116A60B-37F1-4177-9655-7E69E66A23D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5500" y="45666023"/>
          <a:ext cx="152400" cy="152400"/>
        </a:xfrm>
        <a:prstGeom prst="rect">
          <a:avLst/>
        </a:prstGeom>
      </xdr:spPr>
    </xdr:pic>
    <xdr:clientData/>
  </xdr:oneCellAnchor>
  <xdr:oneCellAnchor>
    <xdr:from>
      <xdr:col>1</xdr:col>
      <xdr:colOff>63500</xdr:colOff>
      <xdr:row>262</xdr:row>
      <xdr:rowOff>12698</xdr:rowOff>
    </xdr:from>
    <xdr:ext cx="152400" cy="152400"/>
    <xdr:pic>
      <xdr:nvPicPr>
        <xdr:cNvPr id="260" name="image1.png">
          <a:extLst>
            <a:ext uri="{FF2B5EF4-FFF2-40B4-BE49-F238E27FC236}">
              <a16:creationId xmlns:a16="http://schemas.microsoft.com/office/drawing/2014/main" id="{CD24F9AC-8DD2-4F81-AF3B-7A9B347F89A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5500" y="45837473"/>
          <a:ext cx="152400" cy="152400"/>
        </a:xfrm>
        <a:prstGeom prst="rect">
          <a:avLst/>
        </a:prstGeom>
      </xdr:spPr>
    </xdr:pic>
    <xdr:clientData/>
  </xdr:oneCellAnchor>
  <xdr:oneCellAnchor>
    <xdr:from>
      <xdr:col>1</xdr:col>
      <xdr:colOff>63500</xdr:colOff>
      <xdr:row>263</xdr:row>
      <xdr:rowOff>12698</xdr:rowOff>
    </xdr:from>
    <xdr:ext cx="152400" cy="152400"/>
    <xdr:pic>
      <xdr:nvPicPr>
        <xdr:cNvPr id="261" name="image1.png">
          <a:extLst>
            <a:ext uri="{FF2B5EF4-FFF2-40B4-BE49-F238E27FC236}">
              <a16:creationId xmlns:a16="http://schemas.microsoft.com/office/drawing/2014/main" id="{3E574C08-A33A-4DC1-A499-EC74E1CCF01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5500" y="46008923"/>
          <a:ext cx="152400" cy="152400"/>
        </a:xfrm>
        <a:prstGeom prst="rect">
          <a:avLst/>
        </a:prstGeom>
      </xdr:spPr>
    </xdr:pic>
    <xdr:clientData/>
  </xdr:oneCellAnchor>
  <xdr:oneCellAnchor>
    <xdr:from>
      <xdr:col>1</xdr:col>
      <xdr:colOff>63500</xdr:colOff>
      <xdr:row>264</xdr:row>
      <xdr:rowOff>12698</xdr:rowOff>
    </xdr:from>
    <xdr:ext cx="152400" cy="152400"/>
    <xdr:pic>
      <xdr:nvPicPr>
        <xdr:cNvPr id="262" name="image1.png">
          <a:extLst>
            <a:ext uri="{FF2B5EF4-FFF2-40B4-BE49-F238E27FC236}">
              <a16:creationId xmlns:a16="http://schemas.microsoft.com/office/drawing/2014/main" id="{FC49A62F-D9D5-4D4F-ACDE-177D34BB407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5500" y="46180373"/>
          <a:ext cx="152400" cy="152400"/>
        </a:xfrm>
        <a:prstGeom prst="rect">
          <a:avLst/>
        </a:prstGeom>
      </xdr:spPr>
    </xdr:pic>
    <xdr:clientData/>
  </xdr:oneCellAnchor>
  <xdr:oneCellAnchor>
    <xdr:from>
      <xdr:col>1</xdr:col>
      <xdr:colOff>63500</xdr:colOff>
      <xdr:row>265</xdr:row>
      <xdr:rowOff>12698</xdr:rowOff>
    </xdr:from>
    <xdr:ext cx="152400" cy="152400"/>
    <xdr:pic>
      <xdr:nvPicPr>
        <xdr:cNvPr id="263" name="image1.png">
          <a:extLst>
            <a:ext uri="{FF2B5EF4-FFF2-40B4-BE49-F238E27FC236}">
              <a16:creationId xmlns:a16="http://schemas.microsoft.com/office/drawing/2014/main" id="{D1ADFC59-1664-4522-9878-C94701A7980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5500" y="46351823"/>
          <a:ext cx="152400" cy="152400"/>
        </a:xfrm>
        <a:prstGeom prst="rect">
          <a:avLst/>
        </a:prstGeom>
      </xdr:spPr>
    </xdr:pic>
    <xdr:clientData/>
  </xdr:oneCellAnchor>
  <xdr:oneCellAnchor>
    <xdr:from>
      <xdr:col>1</xdr:col>
      <xdr:colOff>63500</xdr:colOff>
      <xdr:row>266</xdr:row>
      <xdr:rowOff>12698</xdr:rowOff>
    </xdr:from>
    <xdr:ext cx="152400" cy="152400"/>
    <xdr:pic>
      <xdr:nvPicPr>
        <xdr:cNvPr id="264" name="image1.png">
          <a:extLst>
            <a:ext uri="{FF2B5EF4-FFF2-40B4-BE49-F238E27FC236}">
              <a16:creationId xmlns:a16="http://schemas.microsoft.com/office/drawing/2014/main" id="{DD6641FD-4385-462A-9FAE-16CFBAB6D09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5500" y="46523273"/>
          <a:ext cx="152400" cy="152400"/>
        </a:xfrm>
        <a:prstGeom prst="rect">
          <a:avLst/>
        </a:prstGeom>
      </xdr:spPr>
    </xdr:pic>
    <xdr:clientData/>
  </xdr:oneCellAnchor>
  <xdr:oneCellAnchor>
    <xdr:from>
      <xdr:col>1</xdr:col>
      <xdr:colOff>63500</xdr:colOff>
      <xdr:row>267</xdr:row>
      <xdr:rowOff>12698</xdr:rowOff>
    </xdr:from>
    <xdr:ext cx="152400" cy="152400"/>
    <xdr:pic>
      <xdr:nvPicPr>
        <xdr:cNvPr id="265" name="image1.png">
          <a:extLst>
            <a:ext uri="{FF2B5EF4-FFF2-40B4-BE49-F238E27FC236}">
              <a16:creationId xmlns:a16="http://schemas.microsoft.com/office/drawing/2014/main" id="{00A5AFC9-8F4B-4382-A302-4503127FC3D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5500" y="46694723"/>
          <a:ext cx="152400" cy="152400"/>
        </a:xfrm>
        <a:prstGeom prst="rect">
          <a:avLst/>
        </a:prstGeom>
      </xdr:spPr>
    </xdr:pic>
    <xdr:clientData/>
  </xdr:oneCellAnchor>
  <xdr:oneCellAnchor>
    <xdr:from>
      <xdr:col>1</xdr:col>
      <xdr:colOff>63500</xdr:colOff>
      <xdr:row>268</xdr:row>
      <xdr:rowOff>12698</xdr:rowOff>
    </xdr:from>
    <xdr:ext cx="152400" cy="152400"/>
    <xdr:pic>
      <xdr:nvPicPr>
        <xdr:cNvPr id="266" name="image1.png">
          <a:extLst>
            <a:ext uri="{FF2B5EF4-FFF2-40B4-BE49-F238E27FC236}">
              <a16:creationId xmlns:a16="http://schemas.microsoft.com/office/drawing/2014/main" id="{FBF4481C-9620-4664-8E16-359E64811FB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5500" y="46866173"/>
          <a:ext cx="152400" cy="152400"/>
        </a:xfrm>
        <a:prstGeom prst="rect">
          <a:avLst/>
        </a:prstGeom>
      </xdr:spPr>
    </xdr:pic>
    <xdr:clientData/>
  </xdr:oneCellAnchor>
  <xdr:oneCellAnchor>
    <xdr:from>
      <xdr:col>1</xdr:col>
      <xdr:colOff>63500</xdr:colOff>
      <xdr:row>269</xdr:row>
      <xdr:rowOff>12698</xdr:rowOff>
    </xdr:from>
    <xdr:ext cx="152400" cy="152400"/>
    <xdr:pic>
      <xdr:nvPicPr>
        <xdr:cNvPr id="267" name="image1.png">
          <a:extLst>
            <a:ext uri="{FF2B5EF4-FFF2-40B4-BE49-F238E27FC236}">
              <a16:creationId xmlns:a16="http://schemas.microsoft.com/office/drawing/2014/main" id="{68BF95ED-F5F4-4386-9B4E-934D801CE71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5500" y="47037623"/>
          <a:ext cx="152400" cy="152400"/>
        </a:xfrm>
        <a:prstGeom prst="rect">
          <a:avLst/>
        </a:prstGeom>
      </xdr:spPr>
    </xdr:pic>
    <xdr:clientData/>
  </xdr:oneCellAnchor>
  <xdr:oneCellAnchor>
    <xdr:from>
      <xdr:col>1</xdr:col>
      <xdr:colOff>63500</xdr:colOff>
      <xdr:row>270</xdr:row>
      <xdr:rowOff>12698</xdr:rowOff>
    </xdr:from>
    <xdr:ext cx="152400" cy="152400"/>
    <xdr:pic>
      <xdr:nvPicPr>
        <xdr:cNvPr id="268" name="image1.png">
          <a:extLst>
            <a:ext uri="{FF2B5EF4-FFF2-40B4-BE49-F238E27FC236}">
              <a16:creationId xmlns:a16="http://schemas.microsoft.com/office/drawing/2014/main" id="{39CAB905-24A7-4436-8592-5B4B4FE0C13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5500" y="47209073"/>
          <a:ext cx="152400" cy="152400"/>
        </a:xfrm>
        <a:prstGeom prst="rect">
          <a:avLst/>
        </a:prstGeom>
      </xdr:spPr>
    </xdr:pic>
    <xdr:clientData/>
  </xdr:oneCellAnchor>
  <xdr:oneCellAnchor>
    <xdr:from>
      <xdr:col>1</xdr:col>
      <xdr:colOff>63500</xdr:colOff>
      <xdr:row>271</xdr:row>
      <xdr:rowOff>12698</xdr:rowOff>
    </xdr:from>
    <xdr:ext cx="152400" cy="152400"/>
    <xdr:pic>
      <xdr:nvPicPr>
        <xdr:cNvPr id="269" name="image1.png">
          <a:extLst>
            <a:ext uri="{FF2B5EF4-FFF2-40B4-BE49-F238E27FC236}">
              <a16:creationId xmlns:a16="http://schemas.microsoft.com/office/drawing/2014/main" id="{99FD9CDE-99BD-4877-A8A7-A99D51B1E67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5500" y="47380523"/>
          <a:ext cx="152400" cy="152400"/>
        </a:xfrm>
        <a:prstGeom prst="rect">
          <a:avLst/>
        </a:prstGeom>
      </xdr:spPr>
    </xdr:pic>
    <xdr:clientData/>
  </xdr:oneCellAnchor>
  <xdr:oneCellAnchor>
    <xdr:from>
      <xdr:col>1</xdr:col>
      <xdr:colOff>63500</xdr:colOff>
      <xdr:row>272</xdr:row>
      <xdr:rowOff>12698</xdr:rowOff>
    </xdr:from>
    <xdr:ext cx="152400" cy="152400"/>
    <xdr:pic>
      <xdr:nvPicPr>
        <xdr:cNvPr id="270" name="image1.png">
          <a:extLst>
            <a:ext uri="{FF2B5EF4-FFF2-40B4-BE49-F238E27FC236}">
              <a16:creationId xmlns:a16="http://schemas.microsoft.com/office/drawing/2014/main" id="{63E6EFF2-83AE-4926-AD0F-FC72D9A22C8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5500" y="47551973"/>
          <a:ext cx="152400" cy="152400"/>
        </a:xfrm>
        <a:prstGeom prst="rect">
          <a:avLst/>
        </a:prstGeom>
      </xdr:spPr>
    </xdr:pic>
    <xdr:clientData/>
  </xdr:oneCellAnchor>
  <xdr:oneCellAnchor>
    <xdr:from>
      <xdr:col>1</xdr:col>
      <xdr:colOff>63500</xdr:colOff>
      <xdr:row>273</xdr:row>
      <xdr:rowOff>12698</xdr:rowOff>
    </xdr:from>
    <xdr:ext cx="152400" cy="152400"/>
    <xdr:pic>
      <xdr:nvPicPr>
        <xdr:cNvPr id="271" name="image1.png">
          <a:extLst>
            <a:ext uri="{FF2B5EF4-FFF2-40B4-BE49-F238E27FC236}">
              <a16:creationId xmlns:a16="http://schemas.microsoft.com/office/drawing/2014/main" id="{7855B113-2C67-454F-8423-7511872B2A8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5500" y="47723423"/>
          <a:ext cx="152400" cy="152400"/>
        </a:xfrm>
        <a:prstGeom prst="rect">
          <a:avLst/>
        </a:prstGeom>
      </xdr:spPr>
    </xdr:pic>
    <xdr:clientData/>
  </xdr:oneCellAnchor>
  <xdr:oneCellAnchor>
    <xdr:from>
      <xdr:col>1</xdr:col>
      <xdr:colOff>63500</xdr:colOff>
      <xdr:row>274</xdr:row>
      <xdr:rowOff>12698</xdr:rowOff>
    </xdr:from>
    <xdr:ext cx="152400" cy="152400"/>
    <xdr:pic>
      <xdr:nvPicPr>
        <xdr:cNvPr id="272" name="image1.png">
          <a:extLst>
            <a:ext uri="{FF2B5EF4-FFF2-40B4-BE49-F238E27FC236}">
              <a16:creationId xmlns:a16="http://schemas.microsoft.com/office/drawing/2014/main" id="{F7FB033E-0705-47E0-B16B-D0B1C694EE1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5500" y="47894873"/>
          <a:ext cx="152400" cy="152400"/>
        </a:xfrm>
        <a:prstGeom prst="rect">
          <a:avLst/>
        </a:prstGeom>
      </xdr:spPr>
    </xdr:pic>
    <xdr:clientData/>
  </xdr:oneCellAnchor>
  <xdr:oneCellAnchor>
    <xdr:from>
      <xdr:col>1</xdr:col>
      <xdr:colOff>63500</xdr:colOff>
      <xdr:row>275</xdr:row>
      <xdr:rowOff>12698</xdr:rowOff>
    </xdr:from>
    <xdr:ext cx="152400" cy="152400"/>
    <xdr:pic>
      <xdr:nvPicPr>
        <xdr:cNvPr id="273" name="image1.png">
          <a:extLst>
            <a:ext uri="{FF2B5EF4-FFF2-40B4-BE49-F238E27FC236}">
              <a16:creationId xmlns:a16="http://schemas.microsoft.com/office/drawing/2014/main" id="{E2730D3F-B16B-4CAE-AB5E-457BA7EB71B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5500" y="48066323"/>
          <a:ext cx="152400" cy="152400"/>
        </a:xfrm>
        <a:prstGeom prst="rect">
          <a:avLst/>
        </a:prstGeom>
      </xdr:spPr>
    </xdr:pic>
    <xdr:clientData/>
  </xdr:oneCellAnchor>
  <xdr:oneCellAnchor>
    <xdr:from>
      <xdr:col>1</xdr:col>
      <xdr:colOff>63500</xdr:colOff>
      <xdr:row>276</xdr:row>
      <xdr:rowOff>12698</xdr:rowOff>
    </xdr:from>
    <xdr:ext cx="152400" cy="152400"/>
    <xdr:pic>
      <xdr:nvPicPr>
        <xdr:cNvPr id="274" name="image1.png">
          <a:extLst>
            <a:ext uri="{FF2B5EF4-FFF2-40B4-BE49-F238E27FC236}">
              <a16:creationId xmlns:a16="http://schemas.microsoft.com/office/drawing/2014/main" id="{283C2E74-9FF8-49C4-93DA-B46A02FB826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5500" y="48237773"/>
          <a:ext cx="152400" cy="152400"/>
        </a:xfrm>
        <a:prstGeom prst="rect">
          <a:avLst/>
        </a:prstGeom>
      </xdr:spPr>
    </xdr:pic>
    <xdr:clientData/>
  </xdr:oneCellAnchor>
  <xdr:oneCellAnchor>
    <xdr:from>
      <xdr:col>1</xdr:col>
      <xdr:colOff>63500</xdr:colOff>
      <xdr:row>277</xdr:row>
      <xdr:rowOff>12698</xdr:rowOff>
    </xdr:from>
    <xdr:ext cx="152400" cy="152400"/>
    <xdr:pic>
      <xdr:nvPicPr>
        <xdr:cNvPr id="275" name="image1.png">
          <a:extLst>
            <a:ext uri="{FF2B5EF4-FFF2-40B4-BE49-F238E27FC236}">
              <a16:creationId xmlns:a16="http://schemas.microsoft.com/office/drawing/2014/main" id="{9CD64C99-CC10-40CA-B31D-ED999EA332B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5500" y="48409223"/>
          <a:ext cx="152400" cy="152400"/>
        </a:xfrm>
        <a:prstGeom prst="rect">
          <a:avLst/>
        </a:prstGeom>
      </xdr:spPr>
    </xdr:pic>
    <xdr:clientData/>
  </xdr:oneCellAnchor>
  <xdr:oneCellAnchor>
    <xdr:from>
      <xdr:col>1</xdr:col>
      <xdr:colOff>63500</xdr:colOff>
      <xdr:row>278</xdr:row>
      <xdr:rowOff>12698</xdr:rowOff>
    </xdr:from>
    <xdr:ext cx="152400" cy="152400"/>
    <xdr:pic>
      <xdr:nvPicPr>
        <xdr:cNvPr id="276" name="image1.png">
          <a:extLst>
            <a:ext uri="{FF2B5EF4-FFF2-40B4-BE49-F238E27FC236}">
              <a16:creationId xmlns:a16="http://schemas.microsoft.com/office/drawing/2014/main" id="{107C47AC-5D5D-4667-B9A7-0AB2DDB8334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5500" y="48580673"/>
          <a:ext cx="152400" cy="152400"/>
        </a:xfrm>
        <a:prstGeom prst="rect">
          <a:avLst/>
        </a:prstGeom>
      </xdr:spPr>
    </xdr:pic>
    <xdr:clientData/>
  </xdr:oneCellAnchor>
  <xdr:oneCellAnchor>
    <xdr:from>
      <xdr:col>1</xdr:col>
      <xdr:colOff>63500</xdr:colOff>
      <xdr:row>279</xdr:row>
      <xdr:rowOff>12698</xdr:rowOff>
    </xdr:from>
    <xdr:ext cx="152400" cy="152400"/>
    <xdr:pic>
      <xdr:nvPicPr>
        <xdr:cNvPr id="277" name="image1.png">
          <a:extLst>
            <a:ext uri="{FF2B5EF4-FFF2-40B4-BE49-F238E27FC236}">
              <a16:creationId xmlns:a16="http://schemas.microsoft.com/office/drawing/2014/main" id="{DD5C08E7-E147-40DB-8DF1-555B0042589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5500" y="48752123"/>
          <a:ext cx="152400" cy="152400"/>
        </a:xfrm>
        <a:prstGeom prst="rect">
          <a:avLst/>
        </a:prstGeom>
      </xdr:spPr>
    </xdr:pic>
    <xdr:clientData/>
  </xdr:oneCellAnchor>
  <xdr:oneCellAnchor>
    <xdr:from>
      <xdr:col>1</xdr:col>
      <xdr:colOff>82550</xdr:colOff>
      <xdr:row>281</xdr:row>
      <xdr:rowOff>31748</xdr:rowOff>
    </xdr:from>
    <xdr:ext cx="114300" cy="123825"/>
    <xdr:pic>
      <xdr:nvPicPr>
        <xdr:cNvPr id="278" name="image3.png">
          <a:extLst>
            <a:ext uri="{FF2B5EF4-FFF2-40B4-BE49-F238E27FC236}">
              <a16:creationId xmlns:a16="http://schemas.microsoft.com/office/drawing/2014/main" id="{B29B3758-CB94-45C3-9962-02765073328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44550" y="49114073"/>
          <a:ext cx="114300" cy="123825"/>
        </a:xfrm>
        <a:prstGeom prst="rect">
          <a:avLst/>
        </a:prstGeom>
      </xdr:spPr>
    </xdr:pic>
    <xdr:clientData/>
  </xdr:oneCellAnchor>
  <xdr:oneCellAnchor>
    <xdr:from>
      <xdr:col>1</xdr:col>
      <xdr:colOff>82550</xdr:colOff>
      <xdr:row>282</xdr:row>
      <xdr:rowOff>12698</xdr:rowOff>
    </xdr:from>
    <xdr:ext cx="123825" cy="152400"/>
    <xdr:pic>
      <xdr:nvPicPr>
        <xdr:cNvPr id="279" name="image2.png">
          <a:extLst>
            <a:ext uri="{FF2B5EF4-FFF2-40B4-BE49-F238E27FC236}">
              <a16:creationId xmlns:a16="http://schemas.microsoft.com/office/drawing/2014/main" id="{F4E4DEE6-21DD-4F26-8EA3-429B5C3A130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44550" y="49266473"/>
          <a:ext cx="123825" cy="152400"/>
        </a:xfrm>
        <a:prstGeom prst="rect">
          <a:avLst/>
        </a:prstGeom>
      </xdr:spPr>
    </xdr:pic>
    <xdr:clientData/>
  </xdr:oneCellAnchor>
  <xdr:oneCellAnchor>
    <xdr:from>
      <xdr:col>1</xdr:col>
      <xdr:colOff>82550</xdr:colOff>
      <xdr:row>283</xdr:row>
      <xdr:rowOff>31748</xdr:rowOff>
    </xdr:from>
    <xdr:ext cx="114300" cy="123825"/>
    <xdr:pic>
      <xdr:nvPicPr>
        <xdr:cNvPr id="280" name="image3.png">
          <a:extLst>
            <a:ext uri="{FF2B5EF4-FFF2-40B4-BE49-F238E27FC236}">
              <a16:creationId xmlns:a16="http://schemas.microsoft.com/office/drawing/2014/main" id="{BBD5C0C1-7A1A-4FA5-AA15-C548F5C14E4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44550" y="49456973"/>
          <a:ext cx="114300" cy="123825"/>
        </a:xfrm>
        <a:prstGeom prst="rect">
          <a:avLst/>
        </a:prstGeom>
      </xdr:spPr>
    </xdr:pic>
    <xdr:clientData/>
  </xdr:oneCellAnchor>
  <xdr:oneCellAnchor>
    <xdr:from>
      <xdr:col>1</xdr:col>
      <xdr:colOff>82550</xdr:colOff>
      <xdr:row>284</xdr:row>
      <xdr:rowOff>12698</xdr:rowOff>
    </xdr:from>
    <xdr:ext cx="123825" cy="152400"/>
    <xdr:pic>
      <xdr:nvPicPr>
        <xdr:cNvPr id="281" name="image2.png">
          <a:extLst>
            <a:ext uri="{FF2B5EF4-FFF2-40B4-BE49-F238E27FC236}">
              <a16:creationId xmlns:a16="http://schemas.microsoft.com/office/drawing/2014/main" id="{5AA9E817-D512-4F98-8D73-2C1BC2C5D66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44550" y="49609373"/>
          <a:ext cx="123825" cy="152400"/>
        </a:xfrm>
        <a:prstGeom prst="rect">
          <a:avLst/>
        </a:prstGeom>
      </xdr:spPr>
    </xdr:pic>
    <xdr:clientData/>
  </xdr:oneCellAnchor>
  <xdr:oneCellAnchor>
    <xdr:from>
      <xdr:col>1</xdr:col>
      <xdr:colOff>82550</xdr:colOff>
      <xdr:row>285</xdr:row>
      <xdr:rowOff>31748</xdr:rowOff>
    </xdr:from>
    <xdr:ext cx="114300" cy="123825"/>
    <xdr:pic>
      <xdr:nvPicPr>
        <xdr:cNvPr id="282" name="image3.png">
          <a:extLst>
            <a:ext uri="{FF2B5EF4-FFF2-40B4-BE49-F238E27FC236}">
              <a16:creationId xmlns:a16="http://schemas.microsoft.com/office/drawing/2014/main" id="{A07483C8-A709-48E2-AB33-EB37533078F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44550" y="49799873"/>
          <a:ext cx="114300" cy="123825"/>
        </a:xfrm>
        <a:prstGeom prst="rect">
          <a:avLst/>
        </a:prstGeom>
      </xdr:spPr>
    </xdr:pic>
    <xdr:clientData/>
  </xdr:oneCellAnchor>
  <xdr:oneCellAnchor>
    <xdr:from>
      <xdr:col>1</xdr:col>
      <xdr:colOff>82550</xdr:colOff>
      <xdr:row>286</xdr:row>
      <xdr:rowOff>12698</xdr:rowOff>
    </xdr:from>
    <xdr:ext cx="123825" cy="152400"/>
    <xdr:pic>
      <xdr:nvPicPr>
        <xdr:cNvPr id="283" name="image2.png">
          <a:extLst>
            <a:ext uri="{FF2B5EF4-FFF2-40B4-BE49-F238E27FC236}">
              <a16:creationId xmlns:a16="http://schemas.microsoft.com/office/drawing/2014/main" id="{7D9892FC-6D04-482D-A59B-B818627A72C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44550" y="49952273"/>
          <a:ext cx="123825" cy="152400"/>
        </a:xfrm>
        <a:prstGeom prst="rect">
          <a:avLst/>
        </a:prstGeom>
      </xdr:spPr>
    </xdr:pic>
    <xdr:clientData/>
  </xdr:oneCellAnchor>
  <xdr:oneCellAnchor>
    <xdr:from>
      <xdr:col>1</xdr:col>
      <xdr:colOff>82550</xdr:colOff>
      <xdr:row>287</xdr:row>
      <xdr:rowOff>31748</xdr:rowOff>
    </xdr:from>
    <xdr:ext cx="114300" cy="123825"/>
    <xdr:pic>
      <xdr:nvPicPr>
        <xdr:cNvPr id="284" name="image3.png">
          <a:extLst>
            <a:ext uri="{FF2B5EF4-FFF2-40B4-BE49-F238E27FC236}">
              <a16:creationId xmlns:a16="http://schemas.microsoft.com/office/drawing/2014/main" id="{5BEFBB9F-826E-46B8-B3CD-DA9B865C256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44550" y="50142773"/>
          <a:ext cx="114300" cy="123825"/>
        </a:xfrm>
        <a:prstGeom prst="rect">
          <a:avLst/>
        </a:prstGeom>
      </xdr:spPr>
    </xdr:pic>
    <xdr:clientData/>
  </xdr:oneCellAnchor>
  <xdr:oneCellAnchor>
    <xdr:from>
      <xdr:col>1</xdr:col>
      <xdr:colOff>82550</xdr:colOff>
      <xdr:row>288</xdr:row>
      <xdr:rowOff>12698</xdr:rowOff>
    </xdr:from>
    <xdr:ext cx="123825" cy="152400"/>
    <xdr:pic>
      <xdr:nvPicPr>
        <xdr:cNvPr id="285" name="image2.png">
          <a:extLst>
            <a:ext uri="{FF2B5EF4-FFF2-40B4-BE49-F238E27FC236}">
              <a16:creationId xmlns:a16="http://schemas.microsoft.com/office/drawing/2014/main" id="{24373699-D35A-4AC8-9788-A14EC239E74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44550" y="50295173"/>
          <a:ext cx="123825" cy="152400"/>
        </a:xfrm>
        <a:prstGeom prst="rect">
          <a:avLst/>
        </a:prstGeom>
      </xdr:spPr>
    </xdr:pic>
    <xdr:clientData/>
  </xdr:oneCellAnchor>
  <xdr:oneCellAnchor>
    <xdr:from>
      <xdr:col>1</xdr:col>
      <xdr:colOff>63500</xdr:colOff>
      <xdr:row>289</xdr:row>
      <xdr:rowOff>12698</xdr:rowOff>
    </xdr:from>
    <xdr:ext cx="152400" cy="152400"/>
    <xdr:pic>
      <xdr:nvPicPr>
        <xdr:cNvPr id="286" name="image1.png">
          <a:extLst>
            <a:ext uri="{FF2B5EF4-FFF2-40B4-BE49-F238E27FC236}">
              <a16:creationId xmlns:a16="http://schemas.microsoft.com/office/drawing/2014/main" id="{9A1690D2-A50F-4CE1-ACC4-9C7F7989B87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5500" y="50466623"/>
          <a:ext cx="152400" cy="152400"/>
        </a:xfrm>
        <a:prstGeom prst="rect">
          <a:avLst/>
        </a:prstGeom>
      </xdr:spPr>
    </xdr:pic>
    <xdr:clientData/>
  </xdr:oneCellAnchor>
  <xdr:oneCellAnchor>
    <xdr:from>
      <xdr:col>1</xdr:col>
      <xdr:colOff>63500</xdr:colOff>
      <xdr:row>290</xdr:row>
      <xdr:rowOff>12698</xdr:rowOff>
    </xdr:from>
    <xdr:ext cx="152400" cy="152400"/>
    <xdr:pic>
      <xdr:nvPicPr>
        <xdr:cNvPr id="287" name="image1.png">
          <a:extLst>
            <a:ext uri="{FF2B5EF4-FFF2-40B4-BE49-F238E27FC236}">
              <a16:creationId xmlns:a16="http://schemas.microsoft.com/office/drawing/2014/main" id="{99232BA7-F7B0-4B81-B125-916D08FD4F7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5500" y="50638073"/>
          <a:ext cx="152400" cy="152400"/>
        </a:xfrm>
        <a:prstGeom prst="rect">
          <a:avLst/>
        </a:prstGeom>
      </xdr:spPr>
    </xdr:pic>
    <xdr:clientData/>
  </xdr:oneCellAnchor>
  <xdr:oneCellAnchor>
    <xdr:from>
      <xdr:col>1</xdr:col>
      <xdr:colOff>63500</xdr:colOff>
      <xdr:row>291</xdr:row>
      <xdr:rowOff>12698</xdr:rowOff>
    </xdr:from>
    <xdr:ext cx="152400" cy="152400"/>
    <xdr:pic>
      <xdr:nvPicPr>
        <xdr:cNvPr id="288" name="image1.png">
          <a:extLst>
            <a:ext uri="{FF2B5EF4-FFF2-40B4-BE49-F238E27FC236}">
              <a16:creationId xmlns:a16="http://schemas.microsoft.com/office/drawing/2014/main" id="{1E5B77C3-6A01-41D1-A9FB-614BB341696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5500" y="50809523"/>
          <a:ext cx="152400" cy="152400"/>
        </a:xfrm>
        <a:prstGeom prst="rect">
          <a:avLst/>
        </a:prstGeom>
      </xdr:spPr>
    </xdr:pic>
    <xdr:clientData/>
  </xdr:oneCellAnchor>
  <xdr:oneCellAnchor>
    <xdr:from>
      <xdr:col>1</xdr:col>
      <xdr:colOff>63500</xdr:colOff>
      <xdr:row>292</xdr:row>
      <xdr:rowOff>12698</xdr:rowOff>
    </xdr:from>
    <xdr:ext cx="152400" cy="152400"/>
    <xdr:pic>
      <xdr:nvPicPr>
        <xdr:cNvPr id="289" name="image1.png">
          <a:extLst>
            <a:ext uri="{FF2B5EF4-FFF2-40B4-BE49-F238E27FC236}">
              <a16:creationId xmlns:a16="http://schemas.microsoft.com/office/drawing/2014/main" id="{B1D59D49-1C53-438C-8CA9-3BDF2972D25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5500" y="50980973"/>
          <a:ext cx="152400" cy="152400"/>
        </a:xfrm>
        <a:prstGeom prst="rect">
          <a:avLst/>
        </a:prstGeom>
      </xdr:spPr>
    </xdr:pic>
    <xdr:clientData/>
  </xdr:oneCellAnchor>
  <xdr:oneCellAnchor>
    <xdr:from>
      <xdr:col>1</xdr:col>
      <xdr:colOff>63500</xdr:colOff>
      <xdr:row>293</xdr:row>
      <xdr:rowOff>12698</xdr:rowOff>
    </xdr:from>
    <xdr:ext cx="152400" cy="152400"/>
    <xdr:pic>
      <xdr:nvPicPr>
        <xdr:cNvPr id="290" name="image1.png">
          <a:extLst>
            <a:ext uri="{FF2B5EF4-FFF2-40B4-BE49-F238E27FC236}">
              <a16:creationId xmlns:a16="http://schemas.microsoft.com/office/drawing/2014/main" id="{A74AD636-E380-4338-97AB-49E13CB7C57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5500" y="51152423"/>
          <a:ext cx="152400" cy="152400"/>
        </a:xfrm>
        <a:prstGeom prst="rect">
          <a:avLst/>
        </a:prstGeom>
      </xdr:spPr>
    </xdr:pic>
    <xdr:clientData/>
  </xdr:oneCellAnchor>
  <xdr:oneCellAnchor>
    <xdr:from>
      <xdr:col>1</xdr:col>
      <xdr:colOff>63500</xdr:colOff>
      <xdr:row>294</xdr:row>
      <xdr:rowOff>12698</xdr:rowOff>
    </xdr:from>
    <xdr:ext cx="152400" cy="152400"/>
    <xdr:pic>
      <xdr:nvPicPr>
        <xdr:cNvPr id="291" name="image1.png">
          <a:extLst>
            <a:ext uri="{FF2B5EF4-FFF2-40B4-BE49-F238E27FC236}">
              <a16:creationId xmlns:a16="http://schemas.microsoft.com/office/drawing/2014/main" id="{BDDF1800-3C12-49C9-A071-5EFFE694630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5500" y="51323873"/>
          <a:ext cx="152400" cy="152400"/>
        </a:xfrm>
        <a:prstGeom prst="rect">
          <a:avLst/>
        </a:prstGeom>
      </xdr:spPr>
    </xdr:pic>
    <xdr:clientData/>
  </xdr:oneCellAnchor>
  <xdr:oneCellAnchor>
    <xdr:from>
      <xdr:col>1</xdr:col>
      <xdr:colOff>63500</xdr:colOff>
      <xdr:row>295</xdr:row>
      <xdr:rowOff>12698</xdr:rowOff>
    </xdr:from>
    <xdr:ext cx="152400" cy="152400"/>
    <xdr:pic>
      <xdr:nvPicPr>
        <xdr:cNvPr id="292" name="image1.png">
          <a:extLst>
            <a:ext uri="{FF2B5EF4-FFF2-40B4-BE49-F238E27FC236}">
              <a16:creationId xmlns:a16="http://schemas.microsoft.com/office/drawing/2014/main" id="{D323FF47-A0A0-4C57-AC76-EAC6F820741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5500" y="51495323"/>
          <a:ext cx="152400" cy="152400"/>
        </a:xfrm>
        <a:prstGeom prst="rect">
          <a:avLst/>
        </a:prstGeom>
      </xdr:spPr>
    </xdr:pic>
    <xdr:clientData/>
  </xdr:oneCellAnchor>
  <xdr:oneCellAnchor>
    <xdr:from>
      <xdr:col>1</xdr:col>
      <xdr:colOff>63500</xdr:colOff>
      <xdr:row>296</xdr:row>
      <xdr:rowOff>12698</xdr:rowOff>
    </xdr:from>
    <xdr:ext cx="152400" cy="152400"/>
    <xdr:pic>
      <xdr:nvPicPr>
        <xdr:cNvPr id="293" name="image1.png">
          <a:extLst>
            <a:ext uri="{FF2B5EF4-FFF2-40B4-BE49-F238E27FC236}">
              <a16:creationId xmlns:a16="http://schemas.microsoft.com/office/drawing/2014/main" id="{4392FAD6-2D5D-4F50-AB75-80694599EA5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5500" y="51666773"/>
          <a:ext cx="152400" cy="152400"/>
        </a:xfrm>
        <a:prstGeom prst="rect">
          <a:avLst/>
        </a:prstGeom>
      </xdr:spPr>
    </xdr:pic>
    <xdr:clientData/>
  </xdr:oneCellAnchor>
  <xdr:oneCellAnchor>
    <xdr:from>
      <xdr:col>1</xdr:col>
      <xdr:colOff>63500</xdr:colOff>
      <xdr:row>297</xdr:row>
      <xdr:rowOff>12698</xdr:rowOff>
    </xdr:from>
    <xdr:ext cx="152400" cy="152400"/>
    <xdr:pic>
      <xdr:nvPicPr>
        <xdr:cNvPr id="294" name="image1.png">
          <a:extLst>
            <a:ext uri="{FF2B5EF4-FFF2-40B4-BE49-F238E27FC236}">
              <a16:creationId xmlns:a16="http://schemas.microsoft.com/office/drawing/2014/main" id="{923886AD-B01D-49B7-A0D8-0247EE1E4D2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5500" y="51838223"/>
          <a:ext cx="152400" cy="152400"/>
        </a:xfrm>
        <a:prstGeom prst="rect">
          <a:avLst/>
        </a:prstGeom>
      </xdr:spPr>
    </xdr:pic>
    <xdr:clientData/>
  </xdr:oneCellAnchor>
  <xdr:oneCellAnchor>
    <xdr:from>
      <xdr:col>1</xdr:col>
      <xdr:colOff>63500</xdr:colOff>
      <xdr:row>298</xdr:row>
      <xdr:rowOff>12698</xdr:rowOff>
    </xdr:from>
    <xdr:ext cx="152400" cy="152400"/>
    <xdr:pic>
      <xdr:nvPicPr>
        <xdr:cNvPr id="295" name="image1.png">
          <a:extLst>
            <a:ext uri="{FF2B5EF4-FFF2-40B4-BE49-F238E27FC236}">
              <a16:creationId xmlns:a16="http://schemas.microsoft.com/office/drawing/2014/main" id="{EEFCF7FC-C71C-4E0A-9886-35ECFFB21CD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5500" y="52009673"/>
          <a:ext cx="152400" cy="152400"/>
        </a:xfrm>
        <a:prstGeom prst="rect">
          <a:avLst/>
        </a:prstGeom>
      </xdr:spPr>
    </xdr:pic>
    <xdr:clientData/>
  </xdr:oneCellAnchor>
  <xdr:oneCellAnchor>
    <xdr:from>
      <xdr:col>1</xdr:col>
      <xdr:colOff>63500</xdr:colOff>
      <xdr:row>299</xdr:row>
      <xdr:rowOff>12698</xdr:rowOff>
    </xdr:from>
    <xdr:ext cx="152400" cy="152400"/>
    <xdr:pic>
      <xdr:nvPicPr>
        <xdr:cNvPr id="296" name="image1.png">
          <a:extLst>
            <a:ext uri="{FF2B5EF4-FFF2-40B4-BE49-F238E27FC236}">
              <a16:creationId xmlns:a16="http://schemas.microsoft.com/office/drawing/2014/main" id="{EA81ECE6-AB7D-4A1D-A121-0F678BDB189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5500" y="52181123"/>
          <a:ext cx="152400" cy="152400"/>
        </a:xfrm>
        <a:prstGeom prst="rect">
          <a:avLst/>
        </a:prstGeom>
      </xdr:spPr>
    </xdr:pic>
    <xdr:clientData/>
  </xdr:oneCellAnchor>
  <xdr:oneCellAnchor>
    <xdr:from>
      <xdr:col>1</xdr:col>
      <xdr:colOff>63500</xdr:colOff>
      <xdr:row>300</xdr:row>
      <xdr:rowOff>12698</xdr:rowOff>
    </xdr:from>
    <xdr:ext cx="152400" cy="152400"/>
    <xdr:pic>
      <xdr:nvPicPr>
        <xdr:cNvPr id="297" name="image1.png">
          <a:extLst>
            <a:ext uri="{FF2B5EF4-FFF2-40B4-BE49-F238E27FC236}">
              <a16:creationId xmlns:a16="http://schemas.microsoft.com/office/drawing/2014/main" id="{EAB89662-99C4-4A71-9F05-9B478358046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5500" y="52352573"/>
          <a:ext cx="152400" cy="152400"/>
        </a:xfrm>
        <a:prstGeom prst="rect">
          <a:avLst/>
        </a:prstGeom>
      </xdr:spPr>
    </xdr:pic>
    <xdr:clientData/>
  </xdr:oneCellAnchor>
  <xdr:oneCellAnchor>
    <xdr:from>
      <xdr:col>1</xdr:col>
      <xdr:colOff>63500</xdr:colOff>
      <xdr:row>301</xdr:row>
      <xdr:rowOff>12698</xdr:rowOff>
    </xdr:from>
    <xdr:ext cx="152400" cy="152400"/>
    <xdr:pic>
      <xdr:nvPicPr>
        <xdr:cNvPr id="298" name="image1.png">
          <a:extLst>
            <a:ext uri="{FF2B5EF4-FFF2-40B4-BE49-F238E27FC236}">
              <a16:creationId xmlns:a16="http://schemas.microsoft.com/office/drawing/2014/main" id="{8F0F895A-C21D-438E-A8A4-4B6AEFC0574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5500" y="52524023"/>
          <a:ext cx="152400" cy="152400"/>
        </a:xfrm>
        <a:prstGeom prst="rect">
          <a:avLst/>
        </a:prstGeom>
      </xdr:spPr>
    </xdr:pic>
    <xdr:clientData/>
  </xdr:oneCellAnchor>
  <xdr:oneCellAnchor>
    <xdr:from>
      <xdr:col>1</xdr:col>
      <xdr:colOff>82550</xdr:colOff>
      <xdr:row>302</xdr:row>
      <xdr:rowOff>12698</xdr:rowOff>
    </xdr:from>
    <xdr:ext cx="123825" cy="152400"/>
    <xdr:pic>
      <xdr:nvPicPr>
        <xdr:cNvPr id="299" name="image2.png">
          <a:extLst>
            <a:ext uri="{FF2B5EF4-FFF2-40B4-BE49-F238E27FC236}">
              <a16:creationId xmlns:a16="http://schemas.microsoft.com/office/drawing/2014/main" id="{3259660D-8BEE-46CF-9CF2-EFD8DA784B8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44550" y="52695473"/>
          <a:ext cx="123825" cy="152400"/>
        </a:xfrm>
        <a:prstGeom prst="rect">
          <a:avLst/>
        </a:prstGeom>
      </xdr:spPr>
    </xdr:pic>
    <xdr:clientData/>
  </xdr:oneCellAnchor>
  <xdr:oneCellAnchor>
    <xdr:from>
      <xdr:col>1</xdr:col>
      <xdr:colOff>82550</xdr:colOff>
      <xdr:row>303</xdr:row>
      <xdr:rowOff>12698</xdr:rowOff>
    </xdr:from>
    <xdr:ext cx="123825" cy="152400"/>
    <xdr:pic>
      <xdr:nvPicPr>
        <xdr:cNvPr id="300" name="image2.png">
          <a:extLst>
            <a:ext uri="{FF2B5EF4-FFF2-40B4-BE49-F238E27FC236}">
              <a16:creationId xmlns:a16="http://schemas.microsoft.com/office/drawing/2014/main" id="{9A17EA4F-2A36-4911-AE20-4883F5F7680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44550" y="52866923"/>
          <a:ext cx="123825" cy="152400"/>
        </a:xfrm>
        <a:prstGeom prst="rect">
          <a:avLst/>
        </a:prstGeom>
      </xdr:spPr>
    </xdr:pic>
    <xdr:clientData/>
  </xdr:oneCellAnchor>
  <xdr:oneCellAnchor>
    <xdr:from>
      <xdr:col>1</xdr:col>
      <xdr:colOff>82550</xdr:colOff>
      <xdr:row>304</xdr:row>
      <xdr:rowOff>12698</xdr:rowOff>
    </xdr:from>
    <xdr:ext cx="123825" cy="152400"/>
    <xdr:pic>
      <xdr:nvPicPr>
        <xdr:cNvPr id="301" name="image2.png">
          <a:extLst>
            <a:ext uri="{FF2B5EF4-FFF2-40B4-BE49-F238E27FC236}">
              <a16:creationId xmlns:a16="http://schemas.microsoft.com/office/drawing/2014/main" id="{0E358C13-7225-4B2E-9760-B91FCFC4B7F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44550" y="53038373"/>
          <a:ext cx="123825" cy="152400"/>
        </a:xfrm>
        <a:prstGeom prst="rect">
          <a:avLst/>
        </a:prstGeom>
      </xdr:spPr>
    </xdr:pic>
    <xdr:clientData/>
  </xdr:oneCellAnchor>
  <xdr:oneCellAnchor>
    <xdr:from>
      <xdr:col>1</xdr:col>
      <xdr:colOff>82550</xdr:colOff>
      <xdr:row>305</xdr:row>
      <xdr:rowOff>12698</xdr:rowOff>
    </xdr:from>
    <xdr:ext cx="123825" cy="152400"/>
    <xdr:pic>
      <xdr:nvPicPr>
        <xdr:cNvPr id="302" name="image2.png">
          <a:extLst>
            <a:ext uri="{FF2B5EF4-FFF2-40B4-BE49-F238E27FC236}">
              <a16:creationId xmlns:a16="http://schemas.microsoft.com/office/drawing/2014/main" id="{DAD9C8AD-F9BF-49E0-B0AD-C3A1123F29B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44550" y="53209823"/>
          <a:ext cx="123825" cy="152400"/>
        </a:xfrm>
        <a:prstGeom prst="rect">
          <a:avLst/>
        </a:prstGeom>
      </xdr:spPr>
    </xdr:pic>
    <xdr:clientData/>
  </xdr:oneCellAnchor>
  <xdr:oneCellAnchor>
    <xdr:from>
      <xdr:col>1</xdr:col>
      <xdr:colOff>82550</xdr:colOff>
      <xdr:row>306</xdr:row>
      <xdr:rowOff>12698</xdr:rowOff>
    </xdr:from>
    <xdr:ext cx="123825" cy="152400"/>
    <xdr:pic>
      <xdr:nvPicPr>
        <xdr:cNvPr id="303" name="image2.png">
          <a:extLst>
            <a:ext uri="{FF2B5EF4-FFF2-40B4-BE49-F238E27FC236}">
              <a16:creationId xmlns:a16="http://schemas.microsoft.com/office/drawing/2014/main" id="{7F2A03E4-90D4-4D8A-AB71-5D588A3B9F9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44550" y="53381273"/>
          <a:ext cx="123825" cy="152400"/>
        </a:xfrm>
        <a:prstGeom prst="rect">
          <a:avLst/>
        </a:prstGeom>
      </xdr:spPr>
    </xdr:pic>
    <xdr:clientData/>
  </xdr:oneCellAnchor>
  <xdr:oneCellAnchor>
    <xdr:from>
      <xdr:col>1</xdr:col>
      <xdr:colOff>63500</xdr:colOff>
      <xdr:row>307</xdr:row>
      <xdr:rowOff>12698</xdr:rowOff>
    </xdr:from>
    <xdr:ext cx="152400" cy="152400"/>
    <xdr:pic>
      <xdr:nvPicPr>
        <xdr:cNvPr id="304" name="image1.png">
          <a:extLst>
            <a:ext uri="{FF2B5EF4-FFF2-40B4-BE49-F238E27FC236}">
              <a16:creationId xmlns:a16="http://schemas.microsoft.com/office/drawing/2014/main" id="{6D751356-9EBF-4E8B-9C07-CEDC8AC818F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5500" y="53552723"/>
          <a:ext cx="152400" cy="152400"/>
        </a:xfrm>
        <a:prstGeom prst="rect">
          <a:avLst/>
        </a:prstGeom>
      </xdr:spPr>
    </xdr:pic>
    <xdr:clientData/>
  </xdr:oneCellAnchor>
  <xdr:oneCellAnchor>
    <xdr:from>
      <xdr:col>1</xdr:col>
      <xdr:colOff>63500</xdr:colOff>
      <xdr:row>308</xdr:row>
      <xdr:rowOff>12698</xdr:rowOff>
    </xdr:from>
    <xdr:ext cx="152400" cy="152400"/>
    <xdr:pic>
      <xdr:nvPicPr>
        <xdr:cNvPr id="305" name="image1.png">
          <a:extLst>
            <a:ext uri="{FF2B5EF4-FFF2-40B4-BE49-F238E27FC236}">
              <a16:creationId xmlns:a16="http://schemas.microsoft.com/office/drawing/2014/main" id="{DBF8BCCD-7AA7-4650-8887-9688B40ADC4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5500" y="53724173"/>
          <a:ext cx="152400" cy="152400"/>
        </a:xfrm>
        <a:prstGeom prst="rect">
          <a:avLst/>
        </a:prstGeom>
      </xdr:spPr>
    </xdr:pic>
    <xdr:clientData/>
  </xdr:oneCellAnchor>
  <xdr:oneCellAnchor>
    <xdr:from>
      <xdr:col>1</xdr:col>
      <xdr:colOff>63500</xdr:colOff>
      <xdr:row>309</xdr:row>
      <xdr:rowOff>12698</xdr:rowOff>
    </xdr:from>
    <xdr:ext cx="152400" cy="152400"/>
    <xdr:pic>
      <xdr:nvPicPr>
        <xdr:cNvPr id="306" name="image1.png">
          <a:extLst>
            <a:ext uri="{FF2B5EF4-FFF2-40B4-BE49-F238E27FC236}">
              <a16:creationId xmlns:a16="http://schemas.microsoft.com/office/drawing/2014/main" id="{CABE79DD-281D-47A3-9AC5-C1F1EB7D22D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5500" y="53895623"/>
          <a:ext cx="152400" cy="152400"/>
        </a:xfrm>
        <a:prstGeom prst="rect">
          <a:avLst/>
        </a:prstGeom>
      </xdr:spPr>
    </xdr:pic>
    <xdr:clientData/>
  </xdr:oneCellAnchor>
  <xdr:oneCellAnchor>
    <xdr:from>
      <xdr:col>1</xdr:col>
      <xdr:colOff>63500</xdr:colOff>
      <xdr:row>310</xdr:row>
      <xdr:rowOff>12698</xdr:rowOff>
    </xdr:from>
    <xdr:ext cx="152400" cy="152400"/>
    <xdr:pic>
      <xdr:nvPicPr>
        <xdr:cNvPr id="307" name="image1.png">
          <a:extLst>
            <a:ext uri="{FF2B5EF4-FFF2-40B4-BE49-F238E27FC236}">
              <a16:creationId xmlns:a16="http://schemas.microsoft.com/office/drawing/2014/main" id="{DAB3A5D0-2C64-423E-A47E-FB620B36B2D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5500" y="54067073"/>
          <a:ext cx="152400" cy="152400"/>
        </a:xfrm>
        <a:prstGeom prst="rect">
          <a:avLst/>
        </a:prstGeom>
      </xdr:spPr>
    </xdr:pic>
    <xdr:clientData/>
  </xdr:oneCellAnchor>
  <xdr:oneCellAnchor>
    <xdr:from>
      <xdr:col>1</xdr:col>
      <xdr:colOff>63500</xdr:colOff>
      <xdr:row>311</xdr:row>
      <xdr:rowOff>12698</xdr:rowOff>
    </xdr:from>
    <xdr:ext cx="152400" cy="152400"/>
    <xdr:pic>
      <xdr:nvPicPr>
        <xdr:cNvPr id="308" name="image4.png">
          <a:extLst>
            <a:ext uri="{FF2B5EF4-FFF2-40B4-BE49-F238E27FC236}">
              <a16:creationId xmlns:a16="http://schemas.microsoft.com/office/drawing/2014/main" id="{0B37489D-444D-4E6E-BD38-6E13E13D13D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5500" y="54238523"/>
          <a:ext cx="152400" cy="152400"/>
        </a:xfrm>
        <a:prstGeom prst="rect">
          <a:avLst/>
        </a:prstGeom>
      </xdr:spPr>
    </xdr:pic>
    <xdr:clientData/>
  </xdr:oneCellAnchor>
  <xdr:oneCellAnchor>
    <xdr:from>
      <xdr:col>1</xdr:col>
      <xdr:colOff>82550</xdr:colOff>
      <xdr:row>312</xdr:row>
      <xdr:rowOff>12698</xdr:rowOff>
    </xdr:from>
    <xdr:ext cx="114300" cy="152400"/>
    <xdr:pic>
      <xdr:nvPicPr>
        <xdr:cNvPr id="309" name="image5.png">
          <a:extLst>
            <a:ext uri="{FF2B5EF4-FFF2-40B4-BE49-F238E27FC236}">
              <a16:creationId xmlns:a16="http://schemas.microsoft.com/office/drawing/2014/main" id="{6FAA275D-9666-4712-AF25-B9565A5628A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44550" y="54409973"/>
          <a:ext cx="114300" cy="152400"/>
        </a:xfrm>
        <a:prstGeom prst="rect">
          <a:avLst/>
        </a:prstGeom>
      </xdr:spPr>
    </xdr:pic>
    <xdr:clientData/>
  </xdr:oneCellAnchor>
  <xdr:oneCellAnchor>
    <xdr:from>
      <xdr:col>1</xdr:col>
      <xdr:colOff>82550</xdr:colOff>
      <xdr:row>313</xdr:row>
      <xdr:rowOff>12698</xdr:rowOff>
    </xdr:from>
    <xdr:ext cx="114300" cy="152400"/>
    <xdr:pic>
      <xdr:nvPicPr>
        <xdr:cNvPr id="310" name="image5.png">
          <a:extLst>
            <a:ext uri="{FF2B5EF4-FFF2-40B4-BE49-F238E27FC236}">
              <a16:creationId xmlns:a16="http://schemas.microsoft.com/office/drawing/2014/main" id="{8478BA77-C71A-421C-A9A3-5BEE1B080EC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44550" y="54581423"/>
          <a:ext cx="114300" cy="152400"/>
        </a:xfrm>
        <a:prstGeom prst="rect">
          <a:avLst/>
        </a:prstGeom>
      </xdr:spPr>
    </xdr:pic>
    <xdr:clientData/>
  </xdr:oneCellAnchor>
  <xdr:oneCellAnchor>
    <xdr:from>
      <xdr:col>1</xdr:col>
      <xdr:colOff>82550</xdr:colOff>
      <xdr:row>314</xdr:row>
      <xdr:rowOff>12698</xdr:rowOff>
    </xdr:from>
    <xdr:ext cx="114300" cy="152400"/>
    <xdr:pic>
      <xdr:nvPicPr>
        <xdr:cNvPr id="311" name="image5.png">
          <a:extLst>
            <a:ext uri="{FF2B5EF4-FFF2-40B4-BE49-F238E27FC236}">
              <a16:creationId xmlns:a16="http://schemas.microsoft.com/office/drawing/2014/main" id="{76E6DAE4-14DE-49D7-B7D6-43356F8813F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44550" y="54752873"/>
          <a:ext cx="114300" cy="152400"/>
        </a:xfrm>
        <a:prstGeom prst="rect">
          <a:avLst/>
        </a:prstGeom>
      </xdr:spPr>
    </xdr:pic>
    <xdr:clientData/>
  </xdr:oneCellAnchor>
  <xdr:oneCellAnchor>
    <xdr:from>
      <xdr:col>1</xdr:col>
      <xdr:colOff>82550</xdr:colOff>
      <xdr:row>315</xdr:row>
      <xdr:rowOff>12698</xdr:rowOff>
    </xdr:from>
    <xdr:ext cx="114300" cy="152400"/>
    <xdr:pic>
      <xdr:nvPicPr>
        <xdr:cNvPr id="312" name="image5.png">
          <a:extLst>
            <a:ext uri="{FF2B5EF4-FFF2-40B4-BE49-F238E27FC236}">
              <a16:creationId xmlns:a16="http://schemas.microsoft.com/office/drawing/2014/main" id="{33055021-3750-430A-8A3D-AA1D0BD0F80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44550" y="54924323"/>
          <a:ext cx="114300" cy="152400"/>
        </a:xfrm>
        <a:prstGeom prst="rect">
          <a:avLst/>
        </a:prstGeom>
      </xdr:spPr>
    </xdr:pic>
    <xdr:clientData/>
  </xdr:oneCellAnchor>
  <xdr:oneCellAnchor>
    <xdr:from>
      <xdr:col>1</xdr:col>
      <xdr:colOff>82550</xdr:colOff>
      <xdr:row>316</xdr:row>
      <xdr:rowOff>12698</xdr:rowOff>
    </xdr:from>
    <xdr:ext cx="123825" cy="152400"/>
    <xdr:pic>
      <xdr:nvPicPr>
        <xdr:cNvPr id="313" name="image2.png">
          <a:extLst>
            <a:ext uri="{FF2B5EF4-FFF2-40B4-BE49-F238E27FC236}">
              <a16:creationId xmlns:a16="http://schemas.microsoft.com/office/drawing/2014/main" id="{62D37CEB-302B-45F1-87C6-BDB5D11E851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44550" y="55095773"/>
          <a:ext cx="123825" cy="152400"/>
        </a:xfrm>
        <a:prstGeom prst="rect">
          <a:avLst/>
        </a:prstGeom>
      </xdr:spPr>
    </xdr:pic>
    <xdr:clientData/>
  </xdr:oneCellAnchor>
  <xdr:oneCellAnchor>
    <xdr:from>
      <xdr:col>1</xdr:col>
      <xdr:colOff>82550</xdr:colOff>
      <xdr:row>317</xdr:row>
      <xdr:rowOff>12698</xdr:rowOff>
    </xdr:from>
    <xdr:ext cx="123825" cy="152400"/>
    <xdr:pic>
      <xdr:nvPicPr>
        <xdr:cNvPr id="314" name="image2.png">
          <a:extLst>
            <a:ext uri="{FF2B5EF4-FFF2-40B4-BE49-F238E27FC236}">
              <a16:creationId xmlns:a16="http://schemas.microsoft.com/office/drawing/2014/main" id="{94B7A17A-9679-4F7C-8ABB-1C8EB633F1F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44550" y="55267223"/>
          <a:ext cx="123825" cy="152400"/>
        </a:xfrm>
        <a:prstGeom prst="rect">
          <a:avLst/>
        </a:prstGeom>
      </xdr:spPr>
    </xdr:pic>
    <xdr:clientData/>
  </xdr:oneCellAnchor>
  <xdr:oneCellAnchor>
    <xdr:from>
      <xdr:col>1</xdr:col>
      <xdr:colOff>82550</xdr:colOff>
      <xdr:row>318</xdr:row>
      <xdr:rowOff>12698</xdr:rowOff>
    </xdr:from>
    <xdr:ext cx="123825" cy="152400"/>
    <xdr:pic>
      <xdr:nvPicPr>
        <xdr:cNvPr id="315" name="image2.png">
          <a:extLst>
            <a:ext uri="{FF2B5EF4-FFF2-40B4-BE49-F238E27FC236}">
              <a16:creationId xmlns:a16="http://schemas.microsoft.com/office/drawing/2014/main" id="{1320A980-6B7C-4C63-BCBB-7A0155C2294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44550" y="55438673"/>
          <a:ext cx="123825" cy="152400"/>
        </a:xfrm>
        <a:prstGeom prst="rect">
          <a:avLst/>
        </a:prstGeom>
      </xdr:spPr>
    </xdr:pic>
    <xdr:clientData/>
  </xdr:oneCellAnchor>
  <xdr:oneCellAnchor>
    <xdr:from>
      <xdr:col>1</xdr:col>
      <xdr:colOff>82550</xdr:colOff>
      <xdr:row>319</xdr:row>
      <xdr:rowOff>12698</xdr:rowOff>
    </xdr:from>
    <xdr:ext cx="123825" cy="152400"/>
    <xdr:pic>
      <xdr:nvPicPr>
        <xdr:cNvPr id="316" name="image2.png">
          <a:extLst>
            <a:ext uri="{FF2B5EF4-FFF2-40B4-BE49-F238E27FC236}">
              <a16:creationId xmlns:a16="http://schemas.microsoft.com/office/drawing/2014/main" id="{A7B7D997-7A5E-4E95-BF52-0620576723E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44550" y="55610123"/>
          <a:ext cx="123825" cy="152400"/>
        </a:xfrm>
        <a:prstGeom prst="rect">
          <a:avLst/>
        </a:prstGeom>
      </xdr:spPr>
    </xdr:pic>
    <xdr:clientData/>
  </xdr:oneCellAnchor>
  <xdr:oneCellAnchor>
    <xdr:from>
      <xdr:col>1</xdr:col>
      <xdr:colOff>82550</xdr:colOff>
      <xdr:row>321</xdr:row>
      <xdr:rowOff>31748</xdr:rowOff>
    </xdr:from>
    <xdr:ext cx="114300" cy="123825"/>
    <xdr:pic>
      <xdr:nvPicPr>
        <xdr:cNvPr id="317" name="image3.png">
          <a:extLst>
            <a:ext uri="{FF2B5EF4-FFF2-40B4-BE49-F238E27FC236}">
              <a16:creationId xmlns:a16="http://schemas.microsoft.com/office/drawing/2014/main" id="{25D7114D-7FAE-4C33-A767-0A2F3FB159C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44550" y="55972073"/>
          <a:ext cx="114300" cy="123825"/>
        </a:xfrm>
        <a:prstGeom prst="rect">
          <a:avLst/>
        </a:prstGeom>
      </xdr:spPr>
    </xdr:pic>
    <xdr:clientData/>
  </xdr:oneCellAnchor>
  <xdr:oneCellAnchor>
    <xdr:from>
      <xdr:col>1</xdr:col>
      <xdr:colOff>82550</xdr:colOff>
      <xdr:row>322</xdr:row>
      <xdr:rowOff>12698</xdr:rowOff>
    </xdr:from>
    <xdr:ext cx="123825" cy="152400"/>
    <xdr:pic>
      <xdr:nvPicPr>
        <xdr:cNvPr id="318" name="image2.png">
          <a:extLst>
            <a:ext uri="{FF2B5EF4-FFF2-40B4-BE49-F238E27FC236}">
              <a16:creationId xmlns:a16="http://schemas.microsoft.com/office/drawing/2014/main" id="{E8B8A6AC-558D-43E7-93B8-4F8475460A5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44550" y="56124473"/>
          <a:ext cx="123825" cy="152400"/>
        </a:xfrm>
        <a:prstGeom prst="rect">
          <a:avLst/>
        </a:prstGeom>
      </xdr:spPr>
    </xdr:pic>
    <xdr:clientData/>
  </xdr:oneCellAnchor>
  <xdr:oneCellAnchor>
    <xdr:from>
      <xdr:col>1</xdr:col>
      <xdr:colOff>82550</xdr:colOff>
      <xdr:row>324</xdr:row>
      <xdr:rowOff>31748</xdr:rowOff>
    </xdr:from>
    <xdr:ext cx="114300" cy="123825"/>
    <xdr:pic>
      <xdr:nvPicPr>
        <xdr:cNvPr id="319" name="image3.png">
          <a:extLst>
            <a:ext uri="{FF2B5EF4-FFF2-40B4-BE49-F238E27FC236}">
              <a16:creationId xmlns:a16="http://schemas.microsoft.com/office/drawing/2014/main" id="{DD2BFDBE-0FB4-41A9-8D8D-BAA863E759A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44550" y="56486423"/>
          <a:ext cx="114300" cy="123825"/>
        </a:xfrm>
        <a:prstGeom prst="rect">
          <a:avLst/>
        </a:prstGeom>
      </xdr:spPr>
    </xdr:pic>
    <xdr:clientData/>
  </xdr:oneCellAnchor>
  <xdr:oneCellAnchor>
    <xdr:from>
      <xdr:col>1</xdr:col>
      <xdr:colOff>82550</xdr:colOff>
      <xdr:row>325</xdr:row>
      <xdr:rowOff>12698</xdr:rowOff>
    </xdr:from>
    <xdr:ext cx="123825" cy="152400"/>
    <xdr:pic>
      <xdr:nvPicPr>
        <xdr:cNvPr id="320" name="image2.png">
          <a:extLst>
            <a:ext uri="{FF2B5EF4-FFF2-40B4-BE49-F238E27FC236}">
              <a16:creationId xmlns:a16="http://schemas.microsoft.com/office/drawing/2014/main" id="{FEE6D0A4-C1E4-4EF8-ADB6-6BE73CB86DC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44550" y="56638823"/>
          <a:ext cx="123825" cy="152400"/>
        </a:xfrm>
        <a:prstGeom prst="rect">
          <a:avLst/>
        </a:prstGeom>
      </xdr:spPr>
    </xdr:pic>
    <xdr:clientData/>
  </xdr:oneCellAnchor>
  <xdr:oneCellAnchor>
    <xdr:from>
      <xdr:col>1</xdr:col>
      <xdr:colOff>82550</xdr:colOff>
      <xdr:row>327</xdr:row>
      <xdr:rowOff>31748</xdr:rowOff>
    </xdr:from>
    <xdr:ext cx="114300" cy="123825"/>
    <xdr:pic>
      <xdr:nvPicPr>
        <xdr:cNvPr id="321" name="image3.png">
          <a:extLst>
            <a:ext uri="{FF2B5EF4-FFF2-40B4-BE49-F238E27FC236}">
              <a16:creationId xmlns:a16="http://schemas.microsoft.com/office/drawing/2014/main" id="{A25A8FA3-6B2F-41F7-B579-ECA4559416B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44550" y="57000773"/>
          <a:ext cx="114300" cy="123825"/>
        </a:xfrm>
        <a:prstGeom prst="rect">
          <a:avLst/>
        </a:prstGeom>
      </xdr:spPr>
    </xdr:pic>
    <xdr:clientData/>
  </xdr:oneCellAnchor>
  <xdr:oneCellAnchor>
    <xdr:from>
      <xdr:col>1</xdr:col>
      <xdr:colOff>82550</xdr:colOff>
      <xdr:row>328</xdr:row>
      <xdr:rowOff>12698</xdr:rowOff>
    </xdr:from>
    <xdr:ext cx="123825" cy="152400"/>
    <xdr:pic>
      <xdr:nvPicPr>
        <xdr:cNvPr id="322" name="image2.png">
          <a:extLst>
            <a:ext uri="{FF2B5EF4-FFF2-40B4-BE49-F238E27FC236}">
              <a16:creationId xmlns:a16="http://schemas.microsoft.com/office/drawing/2014/main" id="{0FAB99D2-F346-47AD-BECB-CFBCF6D8AA8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44550" y="57153173"/>
          <a:ext cx="123825" cy="152400"/>
        </a:xfrm>
        <a:prstGeom prst="rect">
          <a:avLst/>
        </a:prstGeom>
      </xdr:spPr>
    </xdr:pic>
    <xdr:clientData/>
  </xdr:oneCellAnchor>
  <xdr:oneCellAnchor>
    <xdr:from>
      <xdr:col>1</xdr:col>
      <xdr:colOff>82550</xdr:colOff>
      <xdr:row>330</xdr:row>
      <xdr:rowOff>31748</xdr:rowOff>
    </xdr:from>
    <xdr:ext cx="114300" cy="123825"/>
    <xdr:pic>
      <xdr:nvPicPr>
        <xdr:cNvPr id="323" name="image3.png">
          <a:extLst>
            <a:ext uri="{FF2B5EF4-FFF2-40B4-BE49-F238E27FC236}">
              <a16:creationId xmlns:a16="http://schemas.microsoft.com/office/drawing/2014/main" id="{70ACEE34-B248-47A4-B098-330DC040FF0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44550" y="57515123"/>
          <a:ext cx="114300" cy="123825"/>
        </a:xfrm>
        <a:prstGeom prst="rect">
          <a:avLst/>
        </a:prstGeom>
      </xdr:spPr>
    </xdr:pic>
    <xdr:clientData/>
  </xdr:oneCellAnchor>
  <xdr:oneCellAnchor>
    <xdr:from>
      <xdr:col>1</xdr:col>
      <xdr:colOff>82550</xdr:colOff>
      <xdr:row>331</xdr:row>
      <xdr:rowOff>12698</xdr:rowOff>
    </xdr:from>
    <xdr:ext cx="123825" cy="152400"/>
    <xdr:pic>
      <xdr:nvPicPr>
        <xdr:cNvPr id="324" name="image2.png">
          <a:extLst>
            <a:ext uri="{FF2B5EF4-FFF2-40B4-BE49-F238E27FC236}">
              <a16:creationId xmlns:a16="http://schemas.microsoft.com/office/drawing/2014/main" id="{47C30CC4-37B1-496F-8E86-F4F2B51DC4B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44550" y="57667523"/>
          <a:ext cx="123825" cy="152400"/>
        </a:xfrm>
        <a:prstGeom prst="rect">
          <a:avLst/>
        </a:prstGeom>
      </xdr:spPr>
    </xdr:pic>
    <xdr:clientData/>
  </xdr:oneCellAnchor>
  <xdr:oneCellAnchor>
    <xdr:from>
      <xdr:col>1</xdr:col>
      <xdr:colOff>82550</xdr:colOff>
      <xdr:row>333</xdr:row>
      <xdr:rowOff>31748</xdr:rowOff>
    </xdr:from>
    <xdr:ext cx="114300" cy="123825"/>
    <xdr:pic>
      <xdr:nvPicPr>
        <xdr:cNvPr id="325" name="image3.png">
          <a:extLst>
            <a:ext uri="{FF2B5EF4-FFF2-40B4-BE49-F238E27FC236}">
              <a16:creationId xmlns:a16="http://schemas.microsoft.com/office/drawing/2014/main" id="{EAF41E61-7E14-46B0-8B3C-840311A8E14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44550" y="58029473"/>
          <a:ext cx="114300" cy="123825"/>
        </a:xfrm>
        <a:prstGeom prst="rect">
          <a:avLst/>
        </a:prstGeom>
      </xdr:spPr>
    </xdr:pic>
    <xdr:clientData/>
  </xdr:oneCellAnchor>
  <xdr:oneCellAnchor>
    <xdr:from>
      <xdr:col>1</xdr:col>
      <xdr:colOff>82550</xdr:colOff>
      <xdr:row>334</xdr:row>
      <xdr:rowOff>12698</xdr:rowOff>
    </xdr:from>
    <xdr:ext cx="123825" cy="152400"/>
    <xdr:pic>
      <xdr:nvPicPr>
        <xdr:cNvPr id="326" name="image2.png">
          <a:extLst>
            <a:ext uri="{FF2B5EF4-FFF2-40B4-BE49-F238E27FC236}">
              <a16:creationId xmlns:a16="http://schemas.microsoft.com/office/drawing/2014/main" id="{4ADB2B83-5000-469D-83C5-01EA31EB83A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44550" y="58181873"/>
          <a:ext cx="123825" cy="152400"/>
        </a:xfrm>
        <a:prstGeom prst="rect">
          <a:avLst/>
        </a:prstGeom>
      </xdr:spPr>
    </xdr:pic>
    <xdr:clientData/>
  </xdr:oneCellAnchor>
  <xdr:oneCellAnchor>
    <xdr:from>
      <xdr:col>1</xdr:col>
      <xdr:colOff>82550</xdr:colOff>
      <xdr:row>336</xdr:row>
      <xdr:rowOff>31748</xdr:rowOff>
    </xdr:from>
    <xdr:ext cx="114300" cy="123825"/>
    <xdr:pic>
      <xdr:nvPicPr>
        <xdr:cNvPr id="327" name="image3.png">
          <a:extLst>
            <a:ext uri="{FF2B5EF4-FFF2-40B4-BE49-F238E27FC236}">
              <a16:creationId xmlns:a16="http://schemas.microsoft.com/office/drawing/2014/main" id="{D465AF15-4217-4A60-8B00-00C79F875A4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44550" y="58543823"/>
          <a:ext cx="114300" cy="123825"/>
        </a:xfrm>
        <a:prstGeom prst="rect">
          <a:avLst/>
        </a:prstGeom>
      </xdr:spPr>
    </xdr:pic>
    <xdr:clientData/>
  </xdr:oneCellAnchor>
  <xdr:oneCellAnchor>
    <xdr:from>
      <xdr:col>1</xdr:col>
      <xdr:colOff>82550</xdr:colOff>
      <xdr:row>337</xdr:row>
      <xdr:rowOff>12698</xdr:rowOff>
    </xdr:from>
    <xdr:ext cx="123825" cy="152400"/>
    <xdr:pic>
      <xdr:nvPicPr>
        <xdr:cNvPr id="328" name="image2.png">
          <a:extLst>
            <a:ext uri="{FF2B5EF4-FFF2-40B4-BE49-F238E27FC236}">
              <a16:creationId xmlns:a16="http://schemas.microsoft.com/office/drawing/2014/main" id="{19C51809-C7FC-4C07-ADAF-A51F94A0086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44550" y="58696223"/>
          <a:ext cx="123825" cy="152400"/>
        </a:xfrm>
        <a:prstGeom prst="rect">
          <a:avLst/>
        </a:prstGeom>
      </xdr:spPr>
    </xdr:pic>
    <xdr:clientData/>
  </xdr:oneCellAnchor>
  <xdr:oneCellAnchor>
    <xdr:from>
      <xdr:col>1</xdr:col>
      <xdr:colOff>82550</xdr:colOff>
      <xdr:row>339</xdr:row>
      <xdr:rowOff>31748</xdr:rowOff>
    </xdr:from>
    <xdr:ext cx="114300" cy="123825"/>
    <xdr:pic>
      <xdr:nvPicPr>
        <xdr:cNvPr id="329" name="image3.png">
          <a:extLst>
            <a:ext uri="{FF2B5EF4-FFF2-40B4-BE49-F238E27FC236}">
              <a16:creationId xmlns:a16="http://schemas.microsoft.com/office/drawing/2014/main" id="{1D8ACD6A-4B2A-491F-A980-EBD5B5E5A25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44550" y="59058173"/>
          <a:ext cx="114300" cy="123825"/>
        </a:xfrm>
        <a:prstGeom prst="rect">
          <a:avLst/>
        </a:prstGeom>
      </xdr:spPr>
    </xdr:pic>
    <xdr:clientData/>
  </xdr:oneCellAnchor>
  <xdr:oneCellAnchor>
    <xdr:from>
      <xdr:col>1</xdr:col>
      <xdr:colOff>82550</xdr:colOff>
      <xdr:row>340</xdr:row>
      <xdr:rowOff>12698</xdr:rowOff>
    </xdr:from>
    <xdr:ext cx="123825" cy="152400"/>
    <xdr:pic>
      <xdr:nvPicPr>
        <xdr:cNvPr id="330" name="image2.png">
          <a:extLst>
            <a:ext uri="{FF2B5EF4-FFF2-40B4-BE49-F238E27FC236}">
              <a16:creationId xmlns:a16="http://schemas.microsoft.com/office/drawing/2014/main" id="{8D0CC81B-E2D4-412F-A264-2A0178C9A83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44550" y="59210573"/>
          <a:ext cx="123825" cy="152400"/>
        </a:xfrm>
        <a:prstGeom prst="rect">
          <a:avLst/>
        </a:prstGeom>
      </xdr:spPr>
    </xdr:pic>
    <xdr:clientData/>
  </xdr:oneCellAnchor>
  <xdr:oneCellAnchor>
    <xdr:from>
      <xdr:col>1</xdr:col>
      <xdr:colOff>82550</xdr:colOff>
      <xdr:row>341</xdr:row>
      <xdr:rowOff>12698</xdr:rowOff>
    </xdr:from>
    <xdr:ext cx="123825" cy="152400"/>
    <xdr:pic>
      <xdr:nvPicPr>
        <xdr:cNvPr id="331" name="image2.png">
          <a:extLst>
            <a:ext uri="{FF2B5EF4-FFF2-40B4-BE49-F238E27FC236}">
              <a16:creationId xmlns:a16="http://schemas.microsoft.com/office/drawing/2014/main" id="{C8217FE1-1AF8-46C1-B0D0-FA5F71CF8C3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44550" y="59382023"/>
          <a:ext cx="123825" cy="152400"/>
        </a:xfrm>
        <a:prstGeom prst="rect">
          <a:avLst/>
        </a:prstGeom>
      </xdr:spPr>
    </xdr:pic>
    <xdr:clientData/>
  </xdr:oneCellAnchor>
  <xdr:oneCellAnchor>
    <xdr:from>
      <xdr:col>1</xdr:col>
      <xdr:colOff>82550</xdr:colOff>
      <xdr:row>342</xdr:row>
      <xdr:rowOff>12698</xdr:rowOff>
    </xdr:from>
    <xdr:ext cx="123825" cy="152400"/>
    <xdr:pic>
      <xdr:nvPicPr>
        <xdr:cNvPr id="332" name="image2.png">
          <a:extLst>
            <a:ext uri="{FF2B5EF4-FFF2-40B4-BE49-F238E27FC236}">
              <a16:creationId xmlns:a16="http://schemas.microsoft.com/office/drawing/2014/main" id="{B2CB7D71-059C-46E9-856A-60A795323CF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44550" y="59553473"/>
          <a:ext cx="123825" cy="152400"/>
        </a:xfrm>
        <a:prstGeom prst="rect">
          <a:avLst/>
        </a:prstGeom>
      </xdr:spPr>
    </xdr:pic>
    <xdr:clientData/>
  </xdr:oneCellAnchor>
  <xdr:oneCellAnchor>
    <xdr:from>
      <xdr:col>1</xdr:col>
      <xdr:colOff>82550</xdr:colOff>
      <xdr:row>343</xdr:row>
      <xdr:rowOff>12698</xdr:rowOff>
    </xdr:from>
    <xdr:ext cx="123825" cy="152400"/>
    <xdr:pic>
      <xdr:nvPicPr>
        <xdr:cNvPr id="333" name="image2.png">
          <a:extLst>
            <a:ext uri="{FF2B5EF4-FFF2-40B4-BE49-F238E27FC236}">
              <a16:creationId xmlns:a16="http://schemas.microsoft.com/office/drawing/2014/main" id="{20091771-37F3-4C6A-B3C4-BA0222D8255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44550" y="59724923"/>
          <a:ext cx="123825" cy="152400"/>
        </a:xfrm>
        <a:prstGeom prst="rect">
          <a:avLst/>
        </a:prstGeom>
      </xdr:spPr>
    </xdr:pic>
    <xdr:clientData/>
  </xdr:oneCellAnchor>
  <xdr:oneCellAnchor>
    <xdr:from>
      <xdr:col>1</xdr:col>
      <xdr:colOff>63500</xdr:colOff>
      <xdr:row>344</xdr:row>
      <xdr:rowOff>12698</xdr:rowOff>
    </xdr:from>
    <xdr:ext cx="152400" cy="152400"/>
    <xdr:pic>
      <xdr:nvPicPr>
        <xdr:cNvPr id="334" name="image1.png">
          <a:extLst>
            <a:ext uri="{FF2B5EF4-FFF2-40B4-BE49-F238E27FC236}">
              <a16:creationId xmlns:a16="http://schemas.microsoft.com/office/drawing/2014/main" id="{7CBBDF21-DB50-442A-B308-AC775816007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5500" y="59896373"/>
          <a:ext cx="152400" cy="152400"/>
        </a:xfrm>
        <a:prstGeom prst="rect">
          <a:avLst/>
        </a:prstGeom>
      </xdr:spPr>
    </xdr:pic>
    <xdr:clientData/>
  </xdr:oneCellAnchor>
  <xdr:oneCellAnchor>
    <xdr:from>
      <xdr:col>1</xdr:col>
      <xdr:colOff>63500</xdr:colOff>
      <xdr:row>345</xdr:row>
      <xdr:rowOff>12698</xdr:rowOff>
    </xdr:from>
    <xdr:ext cx="152400" cy="152400"/>
    <xdr:pic>
      <xdr:nvPicPr>
        <xdr:cNvPr id="335" name="image1.png">
          <a:extLst>
            <a:ext uri="{FF2B5EF4-FFF2-40B4-BE49-F238E27FC236}">
              <a16:creationId xmlns:a16="http://schemas.microsoft.com/office/drawing/2014/main" id="{71151421-92E8-4435-AE4D-1E2443D48F0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5500" y="60067823"/>
          <a:ext cx="152400" cy="152400"/>
        </a:xfrm>
        <a:prstGeom prst="rect">
          <a:avLst/>
        </a:prstGeom>
      </xdr:spPr>
    </xdr:pic>
    <xdr:clientData/>
  </xdr:oneCellAnchor>
  <xdr:oneCellAnchor>
    <xdr:from>
      <xdr:col>1</xdr:col>
      <xdr:colOff>63500</xdr:colOff>
      <xdr:row>346</xdr:row>
      <xdr:rowOff>12698</xdr:rowOff>
    </xdr:from>
    <xdr:ext cx="152400" cy="152400"/>
    <xdr:pic>
      <xdr:nvPicPr>
        <xdr:cNvPr id="336" name="image1.png">
          <a:extLst>
            <a:ext uri="{FF2B5EF4-FFF2-40B4-BE49-F238E27FC236}">
              <a16:creationId xmlns:a16="http://schemas.microsoft.com/office/drawing/2014/main" id="{C421C31C-8AE3-4906-B14B-AF036FE6160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5500" y="60239273"/>
          <a:ext cx="152400" cy="152400"/>
        </a:xfrm>
        <a:prstGeom prst="rect">
          <a:avLst/>
        </a:prstGeom>
      </xdr:spPr>
    </xdr:pic>
    <xdr:clientData/>
  </xdr:oneCellAnchor>
  <xdr:oneCellAnchor>
    <xdr:from>
      <xdr:col>1</xdr:col>
      <xdr:colOff>63500</xdr:colOff>
      <xdr:row>347</xdr:row>
      <xdr:rowOff>12698</xdr:rowOff>
    </xdr:from>
    <xdr:ext cx="152400" cy="152400"/>
    <xdr:pic>
      <xdr:nvPicPr>
        <xdr:cNvPr id="337" name="image1.png">
          <a:extLst>
            <a:ext uri="{FF2B5EF4-FFF2-40B4-BE49-F238E27FC236}">
              <a16:creationId xmlns:a16="http://schemas.microsoft.com/office/drawing/2014/main" id="{AD799CFE-3B3E-48B0-B2CB-085C335731B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5500" y="60410723"/>
          <a:ext cx="152400" cy="152400"/>
        </a:xfrm>
        <a:prstGeom prst="rect">
          <a:avLst/>
        </a:prstGeom>
      </xdr:spPr>
    </xdr:pic>
    <xdr:clientData/>
  </xdr:oneCellAnchor>
  <xdr:oneCellAnchor>
    <xdr:from>
      <xdr:col>1</xdr:col>
      <xdr:colOff>63500</xdr:colOff>
      <xdr:row>348</xdr:row>
      <xdr:rowOff>12698</xdr:rowOff>
    </xdr:from>
    <xdr:ext cx="152400" cy="152400"/>
    <xdr:pic>
      <xdr:nvPicPr>
        <xdr:cNvPr id="338" name="image1.png">
          <a:extLst>
            <a:ext uri="{FF2B5EF4-FFF2-40B4-BE49-F238E27FC236}">
              <a16:creationId xmlns:a16="http://schemas.microsoft.com/office/drawing/2014/main" id="{2811D3B0-5838-45E6-AEE3-17474F4F537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5500" y="60582173"/>
          <a:ext cx="152400" cy="152400"/>
        </a:xfrm>
        <a:prstGeom prst="rect">
          <a:avLst/>
        </a:prstGeom>
      </xdr:spPr>
    </xdr:pic>
    <xdr:clientData/>
  </xdr:oneCellAnchor>
  <xdr:oneCellAnchor>
    <xdr:from>
      <xdr:col>1</xdr:col>
      <xdr:colOff>63500</xdr:colOff>
      <xdr:row>349</xdr:row>
      <xdr:rowOff>12698</xdr:rowOff>
    </xdr:from>
    <xdr:ext cx="152400" cy="152400"/>
    <xdr:pic>
      <xdr:nvPicPr>
        <xdr:cNvPr id="339" name="image1.png">
          <a:extLst>
            <a:ext uri="{FF2B5EF4-FFF2-40B4-BE49-F238E27FC236}">
              <a16:creationId xmlns:a16="http://schemas.microsoft.com/office/drawing/2014/main" id="{9C840C0F-071C-4CB6-AF0F-6FD3B5BFD0D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5500" y="60753623"/>
          <a:ext cx="152400" cy="152400"/>
        </a:xfrm>
        <a:prstGeom prst="rect">
          <a:avLst/>
        </a:prstGeom>
      </xdr:spPr>
    </xdr:pic>
    <xdr:clientData/>
  </xdr:oneCellAnchor>
  <xdr:oneCellAnchor>
    <xdr:from>
      <xdr:col>1</xdr:col>
      <xdr:colOff>63500</xdr:colOff>
      <xdr:row>350</xdr:row>
      <xdr:rowOff>12698</xdr:rowOff>
    </xdr:from>
    <xdr:ext cx="152400" cy="152400"/>
    <xdr:pic>
      <xdr:nvPicPr>
        <xdr:cNvPr id="340" name="image1.png">
          <a:extLst>
            <a:ext uri="{FF2B5EF4-FFF2-40B4-BE49-F238E27FC236}">
              <a16:creationId xmlns:a16="http://schemas.microsoft.com/office/drawing/2014/main" id="{CF0181B1-B8AE-4EBF-9B9D-179ED9DD9E2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5500" y="60925073"/>
          <a:ext cx="152400" cy="152400"/>
        </a:xfrm>
        <a:prstGeom prst="rect">
          <a:avLst/>
        </a:prstGeom>
      </xdr:spPr>
    </xdr:pic>
    <xdr:clientData/>
  </xdr:oneCellAnchor>
  <xdr:oneCellAnchor>
    <xdr:from>
      <xdr:col>1</xdr:col>
      <xdr:colOff>63500</xdr:colOff>
      <xdr:row>351</xdr:row>
      <xdr:rowOff>12698</xdr:rowOff>
    </xdr:from>
    <xdr:ext cx="152400" cy="152400"/>
    <xdr:pic>
      <xdr:nvPicPr>
        <xdr:cNvPr id="341" name="image1.png">
          <a:extLst>
            <a:ext uri="{FF2B5EF4-FFF2-40B4-BE49-F238E27FC236}">
              <a16:creationId xmlns:a16="http://schemas.microsoft.com/office/drawing/2014/main" id="{562A149C-B514-47AC-B6FC-3B5B9997D59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5500" y="61096523"/>
          <a:ext cx="152400" cy="152400"/>
        </a:xfrm>
        <a:prstGeom prst="rect">
          <a:avLst/>
        </a:prstGeom>
      </xdr:spPr>
    </xdr:pic>
    <xdr:clientData/>
  </xdr:oneCellAnchor>
  <xdr:oneCellAnchor>
    <xdr:from>
      <xdr:col>1</xdr:col>
      <xdr:colOff>63500</xdr:colOff>
      <xdr:row>352</xdr:row>
      <xdr:rowOff>12698</xdr:rowOff>
    </xdr:from>
    <xdr:ext cx="152400" cy="152400"/>
    <xdr:pic>
      <xdr:nvPicPr>
        <xdr:cNvPr id="342" name="image1.png">
          <a:extLst>
            <a:ext uri="{FF2B5EF4-FFF2-40B4-BE49-F238E27FC236}">
              <a16:creationId xmlns:a16="http://schemas.microsoft.com/office/drawing/2014/main" id="{139CA5D4-4444-43A8-A09A-02CFCA334F8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5500" y="61267973"/>
          <a:ext cx="152400" cy="152400"/>
        </a:xfrm>
        <a:prstGeom prst="rect">
          <a:avLst/>
        </a:prstGeom>
      </xdr:spPr>
    </xdr:pic>
    <xdr:clientData/>
  </xdr:oneCellAnchor>
  <xdr:oneCellAnchor>
    <xdr:from>
      <xdr:col>1</xdr:col>
      <xdr:colOff>63500</xdr:colOff>
      <xdr:row>353</xdr:row>
      <xdr:rowOff>12698</xdr:rowOff>
    </xdr:from>
    <xdr:ext cx="152400" cy="152400"/>
    <xdr:pic>
      <xdr:nvPicPr>
        <xdr:cNvPr id="343" name="image1.png">
          <a:extLst>
            <a:ext uri="{FF2B5EF4-FFF2-40B4-BE49-F238E27FC236}">
              <a16:creationId xmlns:a16="http://schemas.microsoft.com/office/drawing/2014/main" id="{EE3F60BD-56D3-4668-BF55-9BE8C49C88D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5500" y="61439423"/>
          <a:ext cx="152400" cy="152400"/>
        </a:xfrm>
        <a:prstGeom prst="rect">
          <a:avLst/>
        </a:prstGeom>
      </xdr:spPr>
    </xdr:pic>
    <xdr:clientData/>
  </xdr:oneCellAnchor>
  <xdr:oneCellAnchor>
    <xdr:from>
      <xdr:col>1</xdr:col>
      <xdr:colOff>63500</xdr:colOff>
      <xdr:row>354</xdr:row>
      <xdr:rowOff>12698</xdr:rowOff>
    </xdr:from>
    <xdr:ext cx="152400" cy="152400"/>
    <xdr:pic>
      <xdr:nvPicPr>
        <xdr:cNvPr id="344" name="image1.png">
          <a:extLst>
            <a:ext uri="{FF2B5EF4-FFF2-40B4-BE49-F238E27FC236}">
              <a16:creationId xmlns:a16="http://schemas.microsoft.com/office/drawing/2014/main" id="{49B2CF59-9933-44EE-80BE-6B9E069F2F2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5500" y="61610873"/>
          <a:ext cx="152400" cy="152400"/>
        </a:xfrm>
        <a:prstGeom prst="rect">
          <a:avLst/>
        </a:prstGeom>
      </xdr:spPr>
    </xdr:pic>
    <xdr:clientData/>
  </xdr:oneCellAnchor>
  <xdr:oneCellAnchor>
    <xdr:from>
      <xdr:col>1</xdr:col>
      <xdr:colOff>63500</xdr:colOff>
      <xdr:row>355</xdr:row>
      <xdr:rowOff>12698</xdr:rowOff>
    </xdr:from>
    <xdr:ext cx="152400" cy="152400"/>
    <xdr:pic>
      <xdr:nvPicPr>
        <xdr:cNvPr id="345" name="image1.png">
          <a:extLst>
            <a:ext uri="{FF2B5EF4-FFF2-40B4-BE49-F238E27FC236}">
              <a16:creationId xmlns:a16="http://schemas.microsoft.com/office/drawing/2014/main" id="{6FFD8B87-0CF8-4856-AD7A-78869C55125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5500" y="61782323"/>
          <a:ext cx="152400" cy="152400"/>
        </a:xfrm>
        <a:prstGeom prst="rect">
          <a:avLst/>
        </a:prstGeom>
      </xdr:spPr>
    </xdr:pic>
    <xdr:clientData/>
  </xdr:oneCellAnchor>
  <xdr:oneCellAnchor>
    <xdr:from>
      <xdr:col>1</xdr:col>
      <xdr:colOff>63500</xdr:colOff>
      <xdr:row>356</xdr:row>
      <xdr:rowOff>12698</xdr:rowOff>
    </xdr:from>
    <xdr:ext cx="152400" cy="152400"/>
    <xdr:pic>
      <xdr:nvPicPr>
        <xdr:cNvPr id="346" name="image1.png">
          <a:extLst>
            <a:ext uri="{FF2B5EF4-FFF2-40B4-BE49-F238E27FC236}">
              <a16:creationId xmlns:a16="http://schemas.microsoft.com/office/drawing/2014/main" id="{23CB8F35-DEEE-4165-945E-427CF6E27A6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5500" y="61953773"/>
          <a:ext cx="152400" cy="152400"/>
        </a:xfrm>
        <a:prstGeom prst="rect">
          <a:avLst/>
        </a:prstGeom>
      </xdr:spPr>
    </xdr:pic>
    <xdr:clientData/>
  </xdr:oneCellAnchor>
  <xdr:oneCellAnchor>
    <xdr:from>
      <xdr:col>1</xdr:col>
      <xdr:colOff>63500</xdr:colOff>
      <xdr:row>357</xdr:row>
      <xdr:rowOff>12698</xdr:rowOff>
    </xdr:from>
    <xdr:ext cx="152400" cy="152400"/>
    <xdr:pic>
      <xdr:nvPicPr>
        <xdr:cNvPr id="347" name="image1.png">
          <a:extLst>
            <a:ext uri="{FF2B5EF4-FFF2-40B4-BE49-F238E27FC236}">
              <a16:creationId xmlns:a16="http://schemas.microsoft.com/office/drawing/2014/main" id="{089E504F-73EA-42FD-B858-4AA0BDE643F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5500" y="62125223"/>
          <a:ext cx="152400" cy="152400"/>
        </a:xfrm>
        <a:prstGeom prst="rect">
          <a:avLst/>
        </a:prstGeom>
      </xdr:spPr>
    </xdr:pic>
    <xdr:clientData/>
  </xdr:oneCellAnchor>
  <xdr:oneCellAnchor>
    <xdr:from>
      <xdr:col>1</xdr:col>
      <xdr:colOff>63500</xdr:colOff>
      <xdr:row>358</xdr:row>
      <xdr:rowOff>12698</xdr:rowOff>
    </xdr:from>
    <xdr:ext cx="152400" cy="152400"/>
    <xdr:pic>
      <xdr:nvPicPr>
        <xdr:cNvPr id="348" name="image1.png">
          <a:extLst>
            <a:ext uri="{FF2B5EF4-FFF2-40B4-BE49-F238E27FC236}">
              <a16:creationId xmlns:a16="http://schemas.microsoft.com/office/drawing/2014/main" id="{FD04C836-5C8A-477E-BD7F-2359F27EBC3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5500" y="62296673"/>
          <a:ext cx="152400" cy="152400"/>
        </a:xfrm>
        <a:prstGeom prst="rect">
          <a:avLst/>
        </a:prstGeom>
      </xdr:spPr>
    </xdr:pic>
    <xdr:clientData/>
  </xdr:oneCellAnchor>
  <xdr:oneCellAnchor>
    <xdr:from>
      <xdr:col>1</xdr:col>
      <xdr:colOff>63500</xdr:colOff>
      <xdr:row>359</xdr:row>
      <xdr:rowOff>12698</xdr:rowOff>
    </xdr:from>
    <xdr:ext cx="152400" cy="152400"/>
    <xdr:pic>
      <xdr:nvPicPr>
        <xdr:cNvPr id="349" name="image1.png">
          <a:extLst>
            <a:ext uri="{FF2B5EF4-FFF2-40B4-BE49-F238E27FC236}">
              <a16:creationId xmlns:a16="http://schemas.microsoft.com/office/drawing/2014/main" id="{B9DFDDDA-51E5-4BB3-B0FC-FC10C493190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5500" y="62468123"/>
          <a:ext cx="152400" cy="152400"/>
        </a:xfrm>
        <a:prstGeom prst="rect">
          <a:avLst/>
        </a:prstGeom>
      </xdr:spPr>
    </xdr:pic>
    <xdr:clientData/>
  </xdr:oneCellAnchor>
  <xdr:oneCellAnchor>
    <xdr:from>
      <xdr:col>1</xdr:col>
      <xdr:colOff>63500</xdr:colOff>
      <xdr:row>360</xdr:row>
      <xdr:rowOff>12698</xdr:rowOff>
    </xdr:from>
    <xdr:ext cx="152400" cy="152400"/>
    <xdr:pic>
      <xdr:nvPicPr>
        <xdr:cNvPr id="350" name="image4.png">
          <a:extLst>
            <a:ext uri="{FF2B5EF4-FFF2-40B4-BE49-F238E27FC236}">
              <a16:creationId xmlns:a16="http://schemas.microsoft.com/office/drawing/2014/main" id="{EDFDB2D3-6157-49F2-AC27-F1DE8BB8020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5500" y="62639573"/>
          <a:ext cx="152400" cy="152400"/>
        </a:xfrm>
        <a:prstGeom prst="rect">
          <a:avLst/>
        </a:prstGeom>
      </xdr:spPr>
    </xdr:pic>
    <xdr:clientData/>
  </xdr:oneCellAnchor>
  <xdr:oneCellAnchor>
    <xdr:from>
      <xdr:col>1</xdr:col>
      <xdr:colOff>63500</xdr:colOff>
      <xdr:row>361</xdr:row>
      <xdr:rowOff>12698</xdr:rowOff>
    </xdr:from>
    <xdr:ext cx="152400" cy="152400"/>
    <xdr:pic>
      <xdr:nvPicPr>
        <xdr:cNvPr id="351" name="image1.png">
          <a:extLst>
            <a:ext uri="{FF2B5EF4-FFF2-40B4-BE49-F238E27FC236}">
              <a16:creationId xmlns:a16="http://schemas.microsoft.com/office/drawing/2014/main" id="{EA934238-33FB-4BC0-BFE6-5F9411FC93A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5500" y="62811023"/>
          <a:ext cx="152400" cy="152400"/>
        </a:xfrm>
        <a:prstGeom prst="rect">
          <a:avLst/>
        </a:prstGeom>
      </xdr:spPr>
    </xdr:pic>
    <xdr:clientData/>
  </xdr:oneCellAnchor>
  <xdr:oneCellAnchor>
    <xdr:from>
      <xdr:col>1</xdr:col>
      <xdr:colOff>63500</xdr:colOff>
      <xdr:row>362</xdr:row>
      <xdr:rowOff>12698</xdr:rowOff>
    </xdr:from>
    <xdr:ext cx="152400" cy="152400"/>
    <xdr:pic>
      <xdr:nvPicPr>
        <xdr:cNvPr id="352" name="image4.png">
          <a:extLst>
            <a:ext uri="{FF2B5EF4-FFF2-40B4-BE49-F238E27FC236}">
              <a16:creationId xmlns:a16="http://schemas.microsoft.com/office/drawing/2014/main" id="{21AE3FC9-8511-44C5-B0BE-7EC166E3B3C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5500" y="62982473"/>
          <a:ext cx="152400" cy="152400"/>
        </a:xfrm>
        <a:prstGeom prst="rect">
          <a:avLst/>
        </a:prstGeom>
      </xdr:spPr>
    </xdr:pic>
    <xdr:clientData/>
  </xdr:oneCellAnchor>
  <xdr:oneCellAnchor>
    <xdr:from>
      <xdr:col>1</xdr:col>
      <xdr:colOff>63500</xdr:colOff>
      <xdr:row>363</xdr:row>
      <xdr:rowOff>12698</xdr:rowOff>
    </xdr:from>
    <xdr:ext cx="152400" cy="152400"/>
    <xdr:pic>
      <xdr:nvPicPr>
        <xdr:cNvPr id="353" name="image4.png">
          <a:extLst>
            <a:ext uri="{FF2B5EF4-FFF2-40B4-BE49-F238E27FC236}">
              <a16:creationId xmlns:a16="http://schemas.microsoft.com/office/drawing/2014/main" id="{B427FDFD-1E80-4DB6-9FE7-D9A93A7E3C2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5500" y="63153923"/>
          <a:ext cx="152400" cy="152400"/>
        </a:xfrm>
        <a:prstGeom prst="rect">
          <a:avLst/>
        </a:prstGeom>
      </xdr:spPr>
    </xdr:pic>
    <xdr:clientData/>
  </xdr:oneCellAnchor>
  <xdr:oneCellAnchor>
    <xdr:from>
      <xdr:col>1</xdr:col>
      <xdr:colOff>63500</xdr:colOff>
      <xdr:row>364</xdr:row>
      <xdr:rowOff>12698</xdr:rowOff>
    </xdr:from>
    <xdr:ext cx="152400" cy="152400"/>
    <xdr:pic>
      <xdr:nvPicPr>
        <xdr:cNvPr id="354" name="image4.png">
          <a:extLst>
            <a:ext uri="{FF2B5EF4-FFF2-40B4-BE49-F238E27FC236}">
              <a16:creationId xmlns:a16="http://schemas.microsoft.com/office/drawing/2014/main" id="{8A55A872-3C86-40C5-AC33-80B4C10942D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5500" y="63325373"/>
          <a:ext cx="152400" cy="152400"/>
        </a:xfrm>
        <a:prstGeom prst="rect">
          <a:avLst/>
        </a:prstGeom>
      </xdr:spPr>
    </xdr:pic>
    <xdr:clientData/>
  </xdr:oneCellAnchor>
  <xdr:oneCellAnchor>
    <xdr:from>
      <xdr:col>1</xdr:col>
      <xdr:colOff>63500</xdr:colOff>
      <xdr:row>365</xdr:row>
      <xdr:rowOff>12698</xdr:rowOff>
    </xdr:from>
    <xdr:ext cx="152400" cy="152400"/>
    <xdr:pic>
      <xdr:nvPicPr>
        <xdr:cNvPr id="355" name="image4.png">
          <a:extLst>
            <a:ext uri="{FF2B5EF4-FFF2-40B4-BE49-F238E27FC236}">
              <a16:creationId xmlns:a16="http://schemas.microsoft.com/office/drawing/2014/main" id="{18E4CF8C-E880-414A-8219-D7F859D6162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5500" y="63496823"/>
          <a:ext cx="152400" cy="152400"/>
        </a:xfrm>
        <a:prstGeom prst="rect">
          <a:avLst/>
        </a:prstGeom>
      </xdr:spPr>
    </xdr:pic>
    <xdr:clientData/>
  </xdr:oneCellAnchor>
  <xdr:oneCellAnchor>
    <xdr:from>
      <xdr:col>1</xdr:col>
      <xdr:colOff>63500</xdr:colOff>
      <xdr:row>366</xdr:row>
      <xdr:rowOff>12698</xdr:rowOff>
    </xdr:from>
    <xdr:ext cx="152400" cy="152400"/>
    <xdr:pic>
      <xdr:nvPicPr>
        <xdr:cNvPr id="356" name="image1.png">
          <a:extLst>
            <a:ext uri="{FF2B5EF4-FFF2-40B4-BE49-F238E27FC236}">
              <a16:creationId xmlns:a16="http://schemas.microsoft.com/office/drawing/2014/main" id="{B1BE393E-47D6-45F7-B757-C03B6C3A9D1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5500" y="63668273"/>
          <a:ext cx="152400" cy="152400"/>
        </a:xfrm>
        <a:prstGeom prst="rect">
          <a:avLst/>
        </a:prstGeom>
      </xdr:spPr>
    </xdr:pic>
    <xdr:clientData/>
  </xdr:oneCellAnchor>
  <xdr:oneCellAnchor>
    <xdr:from>
      <xdr:col>1</xdr:col>
      <xdr:colOff>63500</xdr:colOff>
      <xdr:row>367</xdr:row>
      <xdr:rowOff>12698</xdr:rowOff>
    </xdr:from>
    <xdr:ext cx="152400" cy="152400"/>
    <xdr:pic>
      <xdr:nvPicPr>
        <xdr:cNvPr id="357" name="image1.png">
          <a:extLst>
            <a:ext uri="{FF2B5EF4-FFF2-40B4-BE49-F238E27FC236}">
              <a16:creationId xmlns:a16="http://schemas.microsoft.com/office/drawing/2014/main" id="{8ADC9EC0-92AD-40AF-ADC5-1B4D8EECCB2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5500" y="63839723"/>
          <a:ext cx="152400" cy="152400"/>
        </a:xfrm>
        <a:prstGeom prst="rect">
          <a:avLst/>
        </a:prstGeom>
      </xdr:spPr>
    </xdr:pic>
    <xdr:clientData/>
  </xdr:oneCellAnchor>
  <xdr:oneCellAnchor>
    <xdr:from>
      <xdr:col>1</xdr:col>
      <xdr:colOff>63500</xdr:colOff>
      <xdr:row>368</xdr:row>
      <xdr:rowOff>12698</xdr:rowOff>
    </xdr:from>
    <xdr:ext cx="152400" cy="152400"/>
    <xdr:pic>
      <xdr:nvPicPr>
        <xdr:cNvPr id="358" name="image1.png">
          <a:extLst>
            <a:ext uri="{FF2B5EF4-FFF2-40B4-BE49-F238E27FC236}">
              <a16:creationId xmlns:a16="http://schemas.microsoft.com/office/drawing/2014/main" id="{F2230FBB-349B-43FB-89A5-5CFEF5245C8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5500" y="64011173"/>
          <a:ext cx="152400" cy="152400"/>
        </a:xfrm>
        <a:prstGeom prst="rect">
          <a:avLst/>
        </a:prstGeom>
      </xdr:spPr>
    </xdr:pic>
    <xdr:clientData/>
  </xdr:oneCellAnchor>
  <xdr:oneCellAnchor>
    <xdr:from>
      <xdr:col>1</xdr:col>
      <xdr:colOff>63500</xdr:colOff>
      <xdr:row>369</xdr:row>
      <xdr:rowOff>12698</xdr:rowOff>
    </xdr:from>
    <xdr:ext cx="152400" cy="152400"/>
    <xdr:pic>
      <xdr:nvPicPr>
        <xdr:cNvPr id="359" name="image1.png">
          <a:extLst>
            <a:ext uri="{FF2B5EF4-FFF2-40B4-BE49-F238E27FC236}">
              <a16:creationId xmlns:a16="http://schemas.microsoft.com/office/drawing/2014/main" id="{7DD7DDD9-C12C-4346-8DB1-C39C19C0434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5500" y="64182623"/>
          <a:ext cx="152400" cy="152400"/>
        </a:xfrm>
        <a:prstGeom prst="rect">
          <a:avLst/>
        </a:prstGeom>
      </xdr:spPr>
    </xdr:pic>
    <xdr:clientData/>
  </xdr:oneCellAnchor>
  <xdr:oneCellAnchor>
    <xdr:from>
      <xdr:col>1</xdr:col>
      <xdr:colOff>63500</xdr:colOff>
      <xdr:row>370</xdr:row>
      <xdr:rowOff>12698</xdr:rowOff>
    </xdr:from>
    <xdr:ext cx="152400" cy="152400"/>
    <xdr:pic>
      <xdr:nvPicPr>
        <xdr:cNvPr id="360" name="image4.png">
          <a:extLst>
            <a:ext uri="{FF2B5EF4-FFF2-40B4-BE49-F238E27FC236}">
              <a16:creationId xmlns:a16="http://schemas.microsoft.com/office/drawing/2014/main" id="{10C06735-C0E6-434C-8B96-D4CFB7FA08A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5500" y="64354073"/>
          <a:ext cx="152400" cy="152400"/>
        </a:xfrm>
        <a:prstGeom prst="rect">
          <a:avLst/>
        </a:prstGeom>
      </xdr:spPr>
    </xdr:pic>
    <xdr:clientData/>
  </xdr:oneCellAnchor>
  <xdr:oneCellAnchor>
    <xdr:from>
      <xdr:col>1</xdr:col>
      <xdr:colOff>63500</xdr:colOff>
      <xdr:row>371</xdr:row>
      <xdr:rowOff>12698</xdr:rowOff>
    </xdr:from>
    <xdr:ext cx="152400" cy="152400"/>
    <xdr:pic>
      <xdr:nvPicPr>
        <xdr:cNvPr id="361" name="image1.png">
          <a:extLst>
            <a:ext uri="{FF2B5EF4-FFF2-40B4-BE49-F238E27FC236}">
              <a16:creationId xmlns:a16="http://schemas.microsoft.com/office/drawing/2014/main" id="{69CD998C-3D3E-454B-A2AC-CA3445258EB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5500" y="64525523"/>
          <a:ext cx="152400" cy="152400"/>
        </a:xfrm>
        <a:prstGeom prst="rect">
          <a:avLst/>
        </a:prstGeom>
      </xdr:spPr>
    </xdr:pic>
    <xdr:clientData/>
  </xdr:oneCellAnchor>
  <xdr:oneCellAnchor>
    <xdr:from>
      <xdr:col>1</xdr:col>
      <xdr:colOff>63500</xdr:colOff>
      <xdr:row>372</xdr:row>
      <xdr:rowOff>12698</xdr:rowOff>
    </xdr:from>
    <xdr:ext cx="152400" cy="152400"/>
    <xdr:pic>
      <xdr:nvPicPr>
        <xdr:cNvPr id="362" name="image4.png">
          <a:extLst>
            <a:ext uri="{FF2B5EF4-FFF2-40B4-BE49-F238E27FC236}">
              <a16:creationId xmlns:a16="http://schemas.microsoft.com/office/drawing/2014/main" id="{839933D8-BAEF-4088-9B31-8E4B30C4F0C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5500" y="64696973"/>
          <a:ext cx="152400" cy="152400"/>
        </a:xfrm>
        <a:prstGeom prst="rect">
          <a:avLst/>
        </a:prstGeom>
      </xdr:spPr>
    </xdr:pic>
    <xdr:clientData/>
  </xdr:oneCellAnchor>
  <xdr:oneCellAnchor>
    <xdr:from>
      <xdr:col>1</xdr:col>
      <xdr:colOff>63500</xdr:colOff>
      <xdr:row>373</xdr:row>
      <xdr:rowOff>12698</xdr:rowOff>
    </xdr:from>
    <xdr:ext cx="152400" cy="152400"/>
    <xdr:pic>
      <xdr:nvPicPr>
        <xdr:cNvPr id="363" name="image1.png">
          <a:extLst>
            <a:ext uri="{FF2B5EF4-FFF2-40B4-BE49-F238E27FC236}">
              <a16:creationId xmlns:a16="http://schemas.microsoft.com/office/drawing/2014/main" id="{62AE1A2A-60B8-4FD1-A641-58F60A7B061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5500" y="64868423"/>
          <a:ext cx="152400" cy="152400"/>
        </a:xfrm>
        <a:prstGeom prst="rect">
          <a:avLst/>
        </a:prstGeom>
      </xdr:spPr>
    </xdr:pic>
    <xdr:clientData/>
  </xdr:oneCellAnchor>
  <xdr:oneCellAnchor>
    <xdr:from>
      <xdr:col>1</xdr:col>
      <xdr:colOff>63500</xdr:colOff>
      <xdr:row>374</xdr:row>
      <xdr:rowOff>12698</xdr:rowOff>
    </xdr:from>
    <xdr:ext cx="152400" cy="152400"/>
    <xdr:pic>
      <xdr:nvPicPr>
        <xdr:cNvPr id="364" name="image1.png">
          <a:extLst>
            <a:ext uri="{FF2B5EF4-FFF2-40B4-BE49-F238E27FC236}">
              <a16:creationId xmlns:a16="http://schemas.microsoft.com/office/drawing/2014/main" id="{664106F1-84B1-478E-B80E-353D6D7B438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5500" y="65039873"/>
          <a:ext cx="152400" cy="152400"/>
        </a:xfrm>
        <a:prstGeom prst="rect">
          <a:avLst/>
        </a:prstGeom>
      </xdr:spPr>
    </xdr:pic>
    <xdr:clientData/>
  </xdr:oneCellAnchor>
  <xdr:oneCellAnchor>
    <xdr:from>
      <xdr:col>1</xdr:col>
      <xdr:colOff>63500</xdr:colOff>
      <xdr:row>375</xdr:row>
      <xdr:rowOff>12698</xdr:rowOff>
    </xdr:from>
    <xdr:ext cx="152400" cy="152400"/>
    <xdr:pic>
      <xdr:nvPicPr>
        <xdr:cNvPr id="365" name="image1.png">
          <a:extLst>
            <a:ext uri="{FF2B5EF4-FFF2-40B4-BE49-F238E27FC236}">
              <a16:creationId xmlns:a16="http://schemas.microsoft.com/office/drawing/2014/main" id="{D1BC7D12-9862-4BE0-81E3-57940A6AB36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5500" y="65211323"/>
          <a:ext cx="152400" cy="152400"/>
        </a:xfrm>
        <a:prstGeom prst="rect">
          <a:avLst/>
        </a:prstGeom>
      </xdr:spPr>
    </xdr:pic>
    <xdr:clientData/>
  </xdr:oneCellAnchor>
  <xdr:oneCellAnchor>
    <xdr:from>
      <xdr:col>1</xdr:col>
      <xdr:colOff>63500</xdr:colOff>
      <xdr:row>376</xdr:row>
      <xdr:rowOff>12698</xdr:rowOff>
    </xdr:from>
    <xdr:ext cx="152400" cy="152400"/>
    <xdr:pic>
      <xdr:nvPicPr>
        <xdr:cNvPr id="366" name="image1.png">
          <a:extLst>
            <a:ext uri="{FF2B5EF4-FFF2-40B4-BE49-F238E27FC236}">
              <a16:creationId xmlns:a16="http://schemas.microsoft.com/office/drawing/2014/main" id="{D328D28F-4E30-4D0D-A193-43837114165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5500" y="65382773"/>
          <a:ext cx="152400" cy="152400"/>
        </a:xfrm>
        <a:prstGeom prst="rect">
          <a:avLst/>
        </a:prstGeom>
      </xdr:spPr>
    </xdr:pic>
    <xdr:clientData/>
  </xdr:oneCellAnchor>
  <xdr:oneCellAnchor>
    <xdr:from>
      <xdr:col>1</xdr:col>
      <xdr:colOff>63500</xdr:colOff>
      <xdr:row>377</xdr:row>
      <xdr:rowOff>12698</xdr:rowOff>
    </xdr:from>
    <xdr:ext cx="152400" cy="152400"/>
    <xdr:pic>
      <xdr:nvPicPr>
        <xdr:cNvPr id="367" name="image1.png">
          <a:extLst>
            <a:ext uri="{FF2B5EF4-FFF2-40B4-BE49-F238E27FC236}">
              <a16:creationId xmlns:a16="http://schemas.microsoft.com/office/drawing/2014/main" id="{23CD7E4C-65F6-4A24-8ACE-5928396B365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5500" y="65554223"/>
          <a:ext cx="152400" cy="152400"/>
        </a:xfrm>
        <a:prstGeom prst="rect">
          <a:avLst/>
        </a:prstGeom>
      </xdr:spPr>
    </xdr:pic>
    <xdr:clientData/>
  </xdr:oneCellAnchor>
  <xdr:oneCellAnchor>
    <xdr:from>
      <xdr:col>1</xdr:col>
      <xdr:colOff>63500</xdr:colOff>
      <xdr:row>378</xdr:row>
      <xdr:rowOff>12698</xdr:rowOff>
    </xdr:from>
    <xdr:ext cx="152400" cy="152400"/>
    <xdr:pic>
      <xdr:nvPicPr>
        <xdr:cNvPr id="368" name="image1.png">
          <a:extLst>
            <a:ext uri="{FF2B5EF4-FFF2-40B4-BE49-F238E27FC236}">
              <a16:creationId xmlns:a16="http://schemas.microsoft.com/office/drawing/2014/main" id="{5FE0F824-4E00-4E94-BC0D-1841D9B20F0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5500" y="65725673"/>
          <a:ext cx="152400" cy="152400"/>
        </a:xfrm>
        <a:prstGeom prst="rect">
          <a:avLst/>
        </a:prstGeom>
      </xdr:spPr>
    </xdr:pic>
    <xdr:clientData/>
  </xdr:oneCellAnchor>
  <xdr:oneCellAnchor>
    <xdr:from>
      <xdr:col>1</xdr:col>
      <xdr:colOff>63500</xdr:colOff>
      <xdr:row>379</xdr:row>
      <xdr:rowOff>12698</xdr:rowOff>
    </xdr:from>
    <xdr:ext cx="152400" cy="152400"/>
    <xdr:pic>
      <xdr:nvPicPr>
        <xdr:cNvPr id="369" name="image1.png">
          <a:extLst>
            <a:ext uri="{FF2B5EF4-FFF2-40B4-BE49-F238E27FC236}">
              <a16:creationId xmlns:a16="http://schemas.microsoft.com/office/drawing/2014/main" id="{9406308E-D791-4EA4-8E2B-70CE362F9F8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5500" y="65897123"/>
          <a:ext cx="152400" cy="152400"/>
        </a:xfrm>
        <a:prstGeom prst="rect">
          <a:avLst/>
        </a:prstGeom>
      </xdr:spPr>
    </xdr:pic>
    <xdr:clientData/>
  </xdr:oneCellAnchor>
  <xdr:oneCellAnchor>
    <xdr:from>
      <xdr:col>1</xdr:col>
      <xdr:colOff>63500</xdr:colOff>
      <xdr:row>380</xdr:row>
      <xdr:rowOff>12698</xdr:rowOff>
    </xdr:from>
    <xdr:ext cx="152400" cy="152400"/>
    <xdr:pic>
      <xdr:nvPicPr>
        <xdr:cNvPr id="370" name="image1.png">
          <a:extLst>
            <a:ext uri="{FF2B5EF4-FFF2-40B4-BE49-F238E27FC236}">
              <a16:creationId xmlns:a16="http://schemas.microsoft.com/office/drawing/2014/main" id="{E03C9813-EC07-4B7B-AEF3-A489017D88F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5500" y="66068573"/>
          <a:ext cx="152400" cy="152400"/>
        </a:xfrm>
        <a:prstGeom prst="rect">
          <a:avLst/>
        </a:prstGeom>
      </xdr:spPr>
    </xdr:pic>
    <xdr:clientData/>
  </xdr:oneCellAnchor>
  <xdr:oneCellAnchor>
    <xdr:from>
      <xdr:col>1</xdr:col>
      <xdr:colOff>63500</xdr:colOff>
      <xdr:row>381</xdr:row>
      <xdr:rowOff>12698</xdr:rowOff>
    </xdr:from>
    <xdr:ext cx="152400" cy="152400"/>
    <xdr:pic>
      <xdr:nvPicPr>
        <xdr:cNvPr id="371" name="image1.png">
          <a:extLst>
            <a:ext uri="{FF2B5EF4-FFF2-40B4-BE49-F238E27FC236}">
              <a16:creationId xmlns:a16="http://schemas.microsoft.com/office/drawing/2014/main" id="{095228D3-E2BA-4365-A3CC-F49953A1B5F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5500" y="66240023"/>
          <a:ext cx="152400" cy="152400"/>
        </a:xfrm>
        <a:prstGeom prst="rect">
          <a:avLst/>
        </a:prstGeom>
      </xdr:spPr>
    </xdr:pic>
    <xdr:clientData/>
  </xdr:oneCellAnchor>
  <xdr:oneCellAnchor>
    <xdr:from>
      <xdr:col>1</xdr:col>
      <xdr:colOff>63500</xdr:colOff>
      <xdr:row>382</xdr:row>
      <xdr:rowOff>12698</xdr:rowOff>
    </xdr:from>
    <xdr:ext cx="152400" cy="152400"/>
    <xdr:pic>
      <xdr:nvPicPr>
        <xdr:cNvPr id="372" name="image4.png">
          <a:extLst>
            <a:ext uri="{FF2B5EF4-FFF2-40B4-BE49-F238E27FC236}">
              <a16:creationId xmlns:a16="http://schemas.microsoft.com/office/drawing/2014/main" id="{CCB3C164-13F6-4813-9AE9-4E8736705BB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5500" y="66411473"/>
          <a:ext cx="152400" cy="152400"/>
        </a:xfrm>
        <a:prstGeom prst="rect">
          <a:avLst/>
        </a:prstGeom>
      </xdr:spPr>
    </xdr:pic>
    <xdr:clientData/>
  </xdr:oneCellAnchor>
  <xdr:oneCellAnchor>
    <xdr:from>
      <xdr:col>1</xdr:col>
      <xdr:colOff>63500</xdr:colOff>
      <xdr:row>383</xdr:row>
      <xdr:rowOff>12698</xdr:rowOff>
    </xdr:from>
    <xdr:ext cx="152400" cy="152400"/>
    <xdr:pic>
      <xdr:nvPicPr>
        <xdr:cNvPr id="373" name="image4.png">
          <a:extLst>
            <a:ext uri="{FF2B5EF4-FFF2-40B4-BE49-F238E27FC236}">
              <a16:creationId xmlns:a16="http://schemas.microsoft.com/office/drawing/2014/main" id="{E9B9F23E-7043-4F30-8D2E-737DE358FB5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5500" y="66582923"/>
          <a:ext cx="152400" cy="152400"/>
        </a:xfrm>
        <a:prstGeom prst="rect">
          <a:avLst/>
        </a:prstGeom>
      </xdr:spPr>
    </xdr:pic>
    <xdr:clientData/>
  </xdr:oneCellAnchor>
  <xdr:oneCellAnchor>
    <xdr:from>
      <xdr:col>1</xdr:col>
      <xdr:colOff>63500</xdr:colOff>
      <xdr:row>384</xdr:row>
      <xdr:rowOff>12698</xdr:rowOff>
    </xdr:from>
    <xdr:ext cx="152400" cy="152400"/>
    <xdr:pic>
      <xdr:nvPicPr>
        <xdr:cNvPr id="374" name="image4.png">
          <a:extLst>
            <a:ext uri="{FF2B5EF4-FFF2-40B4-BE49-F238E27FC236}">
              <a16:creationId xmlns:a16="http://schemas.microsoft.com/office/drawing/2014/main" id="{4C9BDC88-FD24-4BC0-8AAB-D5084E2A6D1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5500" y="66754373"/>
          <a:ext cx="152400" cy="152400"/>
        </a:xfrm>
        <a:prstGeom prst="rect">
          <a:avLst/>
        </a:prstGeom>
      </xdr:spPr>
    </xdr:pic>
    <xdr:clientData/>
  </xdr:oneCellAnchor>
  <xdr:oneCellAnchor>
    <xdr:from>
      <xdr:col>1</xdr:col>
      <xdr:colOff>82550</xdr:colOff>
      <xdr:row>385</xdr:row>
      <xdr:rowOff>12698</xdr:rowOff>
    </xdr:from>
    <xdr:ext cx="114300" cy="152400"/>
    <xdr:pic>
      <xdr:nvPicPr>
        <xdr:cNvPr id="375" name="image5.png">
          <a:extLst>
            <a:ext uri="{FF2B5EF4-FFF2-40B4-BE49-F238E27FC236}">
              <a16:creationId xmlns:a16="http://schemas.microsoft.com/office/drawing/2014/main" id="{EC9AFA35-BBE4-468A-A683-05EEF242F79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44550" y="66925823"/>
          <a:ext cx="114300" cy="152400"/>
        </a:xfrm>
        <a:prstGeom prst="rect">
          <a:avLst/>
        </a:prstGeom>
      </xdr:spPr>
    </xdr:pic>
    <xdr:clientData/>
  </xdr:oneCellAnchor>
  <xdr:oneCellAnchor>
    <xdr:from>
      <xdr:col>1</xdr:col>
      <xdr:colOff>63500</xdr:colOff>
      <xdr:row>386</xdr:row>
      <xdr:rowOff>12698</xdr:rowOff>
    </xdr:from>
    <xdr:ext cx="152400" cy="152400"/>
    <xdr:pic>
      <xdr:nvPicPr>
        <xdr:cNvPr id="376" name="image1.png">
          <a:extLst>
            <a:ext uri="{FF2B5EF4-FFF2-40B4-BE49-F238E27FC236}">
              <a16:creationId xmlns:a16="http://schemas.microsoft.com/office/drawing/2014/main" id="{601CC532-BF62-453C-9F1E-4CCE1455E23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5500" y="67097273"/>
          <a:ext cx="152400" cy="152400"/>
        </a:xfrm>
        <a:prstGeom prst="rect">
          <a:avLst/>
        </a:prstGeom>
      </xdr:spPr>
    </xdr:pic>
    <xdr:clientData/>
  </xdr:oneCellAnchor>
  <xdr:oneCellAnchor>
    <xdr:from>
      <xdr:col>1</xdr:col>
      <xdr:colOff>63500</xdr:colOff>
      <xdr:row>387</xdr:row>
      <xdr:rowOff>12698</xdr:rowOff>
    </xdr:from>
    <xdr:ext cx="152400" cy="152400"/>
    <xdr:pic>
      <xdr:nvPicPr>
        <xdr:cNvPr id="377" name="image1.png">
          <a:extLst>
            <a:ext uri="{FF2B5EF4-FFF2-40B4-BE49-F238E27FC236}">
              <a16:creationId xmlns:a16="http://schemas.microsoft.com/office/drawing/2014/main" id="{3F7A954D-5498-4B55-8949-081912DA447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5500" y="67268723"/>
          <a:ext cx="152400" cy="152400"/>
        </a:xfrm>
        <a:prstGeom prst="rect">
          <a:avLst/>
        </a:prstGeom>
      </xdr:spPr>
    </xdr:pic>
    <xdr:clientData/>
  </xdr:oneCellAnchor>
  <xdr:oneCellAnchor>
    <xdr:from>
      <xdr:col>1</xdr:col>
      <xdr:colOff>63500</xdr:colOff>
      <xdr:row>388</xdr:row>
      <xdr:rowOff>12698</xdr:rowOff>
    </xdr:from>
    <xdr:ext cx="152400" cy="152400"/>
    <xdr:pic>
      <xdr:nvPicPr>
        <xdr:cNvPr id="378" name="image1.png">
          <a:extLst>
            <a:ext uri="{FF2B5EF4-FFF2-40B4-BE49-F238E27FC236}">
              <a16:creationId xmlns:a16="http://schemas.microsoft.com/office/drawing/2014/main" id="{B1C9929A-590E-4FF1-BA60-1A7063A6503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5500" y="67440173"/>
          <a:ext cx="152400" cy="152400"/>
        </a:xfrm>
        <a:prstGeom prst="rect">
          <a:avLst/>
        </a:prstGeom>
      </xdr:spPr>
    </xdr:pic>
    <xdr:clientData/>
  </xdr:oneCellAnchor>
  <xdr:oneCellAnchor>
    <xdr:from>
      <xdr:col>1</xdr:col>
      <xdr:colOff>63500</xdr:colOff>
      <xdr:row>389</xdr:row>
      <xdr:rowOff>12698</xdr:rowOff>
    </xdr:from>
    <xdr:ext cx="152400" cy="152400"/>
    <xdr:pic>
      <xdr:nvPicPr>
        <xdr:cNvPr id="379" name="image1.png">
          <a:extLst>
            <a:ext uri="{FF2B5EF4-FFF2-40B4-BE49-F238E27FC236}">
              <a16:creationId xmlns:a16="http://schemas.microsoft.com/office/drawing/2014/main" id="{689A7972-9FD0-455B-9956-8BF65A421FD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5500" y="67611623"/>
          <a:ext cx="152400" cy="152400"/>
        </a:xfrm>
        <a:prstGeom prst="rect">
          <a:avLst/>
        </a:prstGeom>
      </xdr:spPr>
    </xdr:pic>
    <xdr:clientData/>
  </xdr:oneCellAnchor>
  <xdr:oneCellAnchor>
    <xdr:from>
      <xdr:col>1</xdr:col>
      <xdr:colOff>63500</xdr:colOff>
      <xdr:row>390</xdr:row>
      <xdr:rowOff>12698</xdr:rowOff>
    </xdr:from>
    <xdr:ext cx="152400" cy="152400"/>
    <xdr:pic>
      <xdr:nvPicPr>
        <xdr:cNvPr id="380" name="image1.png">
          <a:extLst>
            <a:ext uri="{FF2B5EF4-FFF2-40B4-BE49-F238E27FC236}">
              <a16:creationId xmlns:a16="http://schemas.microsoft.com/office/drawing/2014/main" id="{6CD42BC2-225D-4A6F-85DC-B8513A9DDE7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5500" y="67783073"/>
          <a:ext cx="152400" cy="152400"/>
        </a:xfrm>
        <a:prstGeom prst="rect">
          <a:avLst/>
        </a:prstGeom>
      </xdr:spPr>
    </xdr:pic>
    <xdr:clientData/>
  </xdr:oneCellAnchor>
  <xdr:oneCellAnchor>
    <xdr:from>
      <xdr:col>1</xdr:col>
      <xdr:colOff>63500</xdr:colOff>
      <xdr:row>391</xdr:row>
      <xdr:rowOff>12698</xdr:rowOff>
    </xdr:from>
    <xdr:ext cx="152400" cy="152400"/>
    <xdr:pic>
      <xdr:nvPicPr>
        <xdr:cNvPr id="381" name="image1.png">
          <a:extLst>
            <a:ext uri="{FF2B5EF4-FFF2-40B4-BE49-F238E27FC236}">
              <a16:creationId xmlns:a16="http://schemas.microsoft.com/office/drawing/2014/main" id="{6CB3BF1B-FB90-4A2E-BF2D-07828D0430D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5500" y="67954523"/>
          <a:ext cx="152400" cy="152400"/>
        </a:xfrm>
        <a:prstGeom prst="rect">
          <a:avLst/>
        </a:prstGeom>
      </xdr:spPr>
    </xdr:pic>
    <xdr:clientData/>
  </xdr:oneCellAnchor>
  <xdr:oneCellAnchor>
    <xdr:from>
      <xdr:col>1</xdr:col>
      <xdr:colOff>63500</xdr:colOff>
      <xdr:row>392</xdr:row>
      <xdr:rowOff>12698</xdr:rowOff>
    </xdr:from>
    <xdr:ext cx="152400" cy="152400"/>
    <xdr:pic>
      <xdr:nvPicPr>
        <xdr:cNvPr id="382" name="image1.png">
          <a:extLst>
            <a:ext uri="{FF2B5EF4-FFF2-40B4-BE49-F238E27FC236}">
              <a16:creationId xmlns:a16="http://schemas.microsoft.com/office/drawing/2014/main" id="{06774BBD-A05D-4DE6-93D5-E4D35B5B354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5500" y="68125973"/>
          <a:ext cx="152400" cy="152400"/>
        </a:xfrm>
        <a:prstGeom prst="rect">
          <a:avLst/>
        </a:prstGeom>
      </xdr:spPr>
    </xdr:pic>
    <xdr:clientData/>
  </xdr:oneCellAnchor>
  <xdr:oneCellAnchor>
    <xdr:from>
      <xdr:col>1</xdr:col>
      <xdr:colOff>63500</xdr:colOff>
      <xdr:row>393</xdr:row>
      <xdr:rowOff>12698</xdr:rowOff>
    </xdr:from>
    <xdr:ext cx="152400" cy="152400"/>
    <xdr:pic>
      <xdr:nvPicPr>
        <xdr:cNvPr id="383" name="image1.png">
          <a:extLst>
            <a:ext uri="{FF2B5EF4-FFF2-40B4-BE49-F238E27FC236}">
              <a16:creationId xmlns:a16="http://schemas.microsoft.com/office/drawing/2014/main" id="{5EE0950E-0796-458E-8057-6D9D0E58977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5500" y="68297423"/>
          <a:ext cx="152400" cy="152400"/>
        </a:xfrm>
        <a:prstGeom prst="rect">
          <a:avLst/>
        </a:prstGeom>
      </xdr:spPr>
    </xdr:pic>
    <xdr:clientData/>
  </xdr:oneCellAnchor>
  <xdr:oneCellAnchor>
    <xdr:from>
      <xdr:col>1</xdr:col>
      <xdr:colOff>63500</xdr:colOff>
      <xdr:row>394</xdr:row>
      <xdr:rowOff>12698</xdr:rowOff>
    </xdr:from>
    <xdr:ext cx="152400" cy="152400"/>
    <xdr:pic>
      <xdr:nvPicPr>
        <xdr:cNvPr id="384" name="image1.png">
          <a:extLst>
            <a:ext uri="{FF2B5EF4-FFF2-40B4-BE49-F238E27FC236}">
              <a16:creationId xmlns:a16="http://schemas.microsoft.com/office/drawing/2014/main" id="{B2136D7C-9933-48C4-A3D2-D9690372A41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5500" y="68468873"/>
          <a:ext cx="152400" cy="152400"/>
        </a:xfrm>
        <a:prstGeom prst="rect">
          <a:avLst/>
        </a:prstGeom>
      </xdr:spPr>
    </xdr:pic>
    <xdr:clientData/>
  </xdr:oneCellAnchor>
  <xdr:oneCellAnchor>
    <xdr:from>
      <xdr:col>1</xdr:col>
      <xdr:colOff>63500</xdr:colOff>
      <xdr:row>395</xdr:row>
      <xdr:rowOff>12698</xdr:rowOff>
    </xdr:from>
    <xdr:ext cx="152400" cy="152400"/>
    <xdr:pic>
      <xdr:nvPicPr>
        <xdr:cNvPr id="385" name="image1.png">
          <a:extLst>
            <a:ext uri="{FF2B5EF4-FFF2-40B4-BE49-F238E27FC236}">
              <a16:creationId xmlns:a16="http://schemas.microsoft.com/office/drawing/2014/main" id="{ED44B208-C5D0-4014-B7B5-0AFBD029110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5500" y="68640323"/>
          <a:ext cx="152400" cy="152400"/>
        </a:xfrm>
        <a:prstGeom prst="rect">
          <a:avLst/>
        </a:prstGeom>
      </xdr:spPr>
    </xdr:pic>
    <xdr:clientData/>
  </xdr:oneCellAnchor>
  <xdr:oneCellAnchor>
    <xdr:from>
      <xdr:col>1</xdr:col>
      <xdr:colOff>63500</xdr:colOff>
      <xdr:row>396</xdr:row>
      <xdr:rowOff>12698</xdr:rowOff>
    </xdr:from>
    <xdr:ext cx="152400" cy="152400"/>
    <xdr:pic>
      <xdr:nvPicPr>
        <xdr:cNvPr id="386" name="image1.png">
          <a:extLst>
            <a:ext uri="{FF2B5EF4-FFF2-40B4-BE49-F238E27FC236}">
              <a16:creationId xmlns:a16="http://schemas.microsoft.com/office/drawing/2014/main" id="{F3349893-8E81-452C-A295-90E3B56DA84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5500" y="68811773"/>
          <a:ext cx="152400" cy="152400"/>
        </a:xfrm>
        <a:prstGeom prst="rect">
          <a:avLst/>
        </a:prstGeom>
      </xdr:spPr>
    </xdr:pic>
    <xdr:clientData/>
  </xdr:oneCellAnchor>
  <xdr:oneCellAnchor>
    <xdr:from>
      <xdr:col>1</xdr:col>
      <xdr:colOff>63500</xdr:colOff>
      <xdr:row>397</xdr:row>
      <xdr:rowOff>12698</xdr:rowOff>
    </xdr:from>
    <xdr:ext cx="152400" cy="152400"/>
    <xdr:pic>
      <xdr:nvPicPr>
        <xdr:cNvPr id="387" name="image1.png">
          <a:extLst>
            <a:ext uri="{FF2B5EF4-FFF2-40B4-BE49-F238E27FC236}">
              <a16:creationId xmlns:a16="http://schemas.microsoft.com/office/drawing/2014/main" id="{1146ABA6-F02E-48D0-9FC6-60F0077CA2F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5500" y="68983223"/>
          <a:ext cx="152400" cy="152400"/>
        </a:xfrm>
        <a:prstGeom prst="rect">
          <a:avLst/>
        </a:prstGeom>
      </xdr:spPr>
    </xdr:pic>
    <xdr:clientData/>
  </xdr:oneCellAnchor>
  <xdr:oneCellAnchor>
    <xdr:from>
      <xdr:col>1</xdr:col>
      <xdr:colOff>63500</xdr:colOff>
      <xdr:row>398</xdr:row>
      <xdr:rowOff>12698</xdr:rowOff>
    </xdr:from>
    <xdr:ext cx="152400" cy="152400"/>
    <xdr:pic>
      <xdr:nvPicPr>
        <xdr:cNvPr id="388" name="image1.png">
          <a:extLst>
            <a:ext uri="{FF2B5EF4-FFF2-40B4-BE49-F238E27FC236}">
              <a16:creationId xmlns:a16="http://schemas.microsoft.com/office/drawing/2014/main" id="{11E5A82D-7F54-4735-A295-CC322A52745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5500" y="69154673"/>
          <a:ext cx="152400" cy="152400"/>
        </a:xfrm>
        <a:prstGeom prst="rect">
          <a:avLst/>
        </a:prstGeom>
      </xdr:spPr>
    </xdr:pic>
    <xdr:clientData/>
  </xdr:oneCellAnchor>
  <xdr:oneCellAnchor>
    <xdr:from>
      <xdr:col>1</xdr:col>
      <xdr:colOff>63500</xdr:colOff>
      <xdr:row>399</xdr:row>
      <xdr:rowOff>12698</xdr:rowOff>
    </xdr:from>
    <xdr:ext cx="152400" cy="152400"/>
    <xdr:pic>
      <xdr:nvPicPr>
        <xdr:cNvPr id="389" name="image1.png">
          <a:extLst>
            <a:ext uri="{FF2B5EF4-FFF2-40B4-BE49-F238E27FC236}">
              <a16:creationId xmlns:a16="http://schemas.microsoft.com/office/drawing/2014/main" id="{F7A16B82-E5C7-4DD8-B4D1-BF26177DAED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5500" y="69326123"/>
          <a:ext cx="152400" cy="152400"/>
        </a:xfrm>
        <a:prstGeom prst="rect">
          <a:avLst/>
        </a:prstGeom>
      </xdr:spPr>
    </xdr:pic>
    <xdr:clientData/>
  </xdr:oneCellAnchor>
  <xdr:oneCellAnchor>
    <xdr:from>
      <xdr:col>1</xdr:col>
      <xdr:colOff>63500</xdr:colOff>
      <xdr:row>400</xdr:row>
      <xdr:rowOff>12698</xdr:rowOff>
    </xdr:from>
    <xdr:ext cx="152400" cy="152400"/>
    <xdr:pic>
      <xdr:nvPicPr>
        <xdr:cNvPr id="390" name="image1.png">
          <a:extLst>
            <a:ext uri="{FF2B5EF4-FFF2-40B4-BE49-F238E27FC236}">
              <a16:creationId xmlns:a16="http://schemas.microsoft.com/office/drawing/2014/main" id="{14D81A4B-15E9-4191-8DBD-44E3513EA8C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5500" y="69497573"/>
          <a:ext cx="152400" cy="152400"/>
        </a:xfrm>
        <a:prstGeom prst="rect">
          <a:avLst/>
        </a:prstGeom>
      </xdr:spPr>
    </xdr:pic>
    <xdr:clientData/>
  </xdr:oneCellAnchor>
  <xdr:oneCellAnchor>
    <xdr:from>
      <xdr:col>1</xdr:col>
      <xdr:colOff>63500</xdr:colOff>
      <xdr:row>401</xdr:row>
      <xdr:rowOff>12698</xdr:rowOff>
    </xdr:from>
    <xdr:ext cx="152400" cy="152400"/>
    <xdr:pic>
      <xdr:nvPicPr>
        <xdr:cNvPr id="391" name="image1.png">
          <a:extLst>
            <a:ext uri="{FF2B5EF4-FFF2-40B4-BE49-F238E27FC236}">
              <a16:creationId xmlns:a16="http://schemas.microsoft.com/office/drawing/2014/main" id="{F7D6CA36-5575-4B4B-8EE8-07B36B1D9A0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5500" y="69669023"/>
          <a:ext cx="152400" cy="152400"/>
        </a:xfrm>
        <a:prstGeom prst="rect">
          <a:avLst/>
        </a:prstGeom>
      </xdr:spPr>
    </xdr:pic>
    <xdr:clientData/>
  </xdr:oneCellAnchor>
  <xdr:oneCellAnchor>
    <xdr:from>
      <xdr:col>1</xdr:col>
      <xdr:colOff>63500</xdr:colOff>
      <xdr:row>402</xdr:row>
      <xdr:rowOff>12698</xdr:rowOff>
    </xdr:from>
    <xdr:ext cx="152400" cy="152400"/>
    <xdr:pic>
      <xdr:nvPicPr>
        <xdr:cNvPr id="392" name="image1.png">
          <a:extLst>
            <a:ext uri="{FF2B5EF4-FFF2-40B4-BE49-F238E27FC236}">
              <a16:creationId xmlns:a16="http://schemas.microsoft.com/office/drawing/2014/main" id="{C6BEB904-75FA-44D5-9A24-6FF6EE40DC1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5500" y="69840473"/>
          <a:ext cx="152400" cy="152400"/>
        </a:xfrm>
        <a:prstGeom prst="rect">
          <a:avLst/>
        </a:prstGeom>
      </xdr:spPr>
    </xdr:pic>
    <xdr:clientData/>
  </xdr:oneCellAnchor>
  <xdr:oneCellAnchor>
    <xdr:from>
      <xdr:col>1</xdr:col>
      <xdr:colOff>63500</xdr:colOff>
      <xdr:row>403</xdr:row>
      <xdr:rowOff>12698</xdr:rowOff>
    </xdr:from>
    <xdr:ext cx="152400" cy="152400"/>
    <xdr:pic>
      <xdr:nvPicPr>
        <xdr:cNvPr id="393" name="image1.png">
          <a:extLst>
            <a:ext uri="{FF2B5EF4-FFF2-40B4-BE49-F238E27FC236}">
              <a16:creationId xmlns:a16="http://schemas.microsoft.com/office/drawing/2014/main" id="{5991A06D-658C-419E-B79B-5CD3227BD5C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5500" y="70011923"/>
          <a:ext cx="152400" cy="152400"/>
        </a:xfrm>
        <a:prstGeom prst="rect">
          <a:avLst/>
        </a:prstGeom>
      </xdr:spPr>
    </xdr:pic>
    <xdr:clientData/>
  </xdr:oneCellAnchor>
  <xdr:oneCellAnchor>
    <xdr:from>
      <xdr:col>1</xdr:col>
      <xdr:colOff>63500</xdr:colOff>
      <xdr:row>404</xdr:row>
      <xdr:rowOff>12698</xdr:rowOff>
    </xdr:from>
    <xdr:ext cx="152400" cy="152400"/>
    <xdr:pic>
      <xdr:nvPicPr>
        <xdr:cNvPr id="394" name="image1.png">
          <a:extLst>
            <a:ext uri="{FF2B5EF4-FFF2-40B4-BE49-F238E27FC236}">
              <a16:creationId xmlns:a16="http://schemas.microsoft.com/office/drawing/2014/main" id="{936EA6D7-686A-4E02-AB63-1E7059357A8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5500" y="70183373"/>
          <a:ext cx="152400" cy="152400"/>
        </a:xfrm>
        <a:prstGeom prst="rect">
          <a:avLst/>
        </a:prstGeom>
      </xdr:spPr>
    </xdr:pic>
    <xdr:clientData/>
  </xdr:oneCellAnchor>
  <xdr:oneCellAnchor>
    <xdr:from>
      <xdr:col>1</xdr:col>
      <xdr:colOff>63500</xdr:colOff>
      <xdr:row>405</xdr:row>
      <xdr:rowOff>12698</xdr:rowOff>
    </xdr:from>
    <xdr:ext cx="152400" cy="152400"/>
    <xdr:pic>
      <xdr:nvPicPr>
        <xdr:cNvPr id="395" name="image1.png">
          <a:extLst>
            <a:ext uri="{FF2B5EF4-FFF2-40B4-BE49-F238E27FC236}">
              <a16:creationId xmlns:a16="http://schemas.microsoft.com/office/drawing/2014/main" id="{2EB1D85F-1CF1-479A-A6B5-99A77D54386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5500" y="70354823"/>
          <a:ext cx="152400" cy="152400"/>
        </a:xfrm>
        <a:prstGeom prst="rect">
          <a:avLst/>
        </a:prstGeom>
      </xdr:spPr>
    </xdr:pic>
    <xdr:clientData/>
  </xdr:oneCellAnchor>
  <xdr:oneCellAnchor>
    <xdr:from>
      <xdr:col>1</xdr:col>
      <xdr:colOff>63500</xdr:colOff>
      <xdr:row>406</xdr:row>
      <xdr:rowOff>12698</xdr:rowOff>
    </xdr:from>
    <xdr:ext cx="152400" cy="152400"/>
    <xdr:pic>
      <xdr:nvPicPr>
        <xdr:cNvPr id="396" name="image1.png">
          <a:extLst>
            <a:ext uri="{FF2B5EF4-FFF2-40B4-BE49-F238E27FC236}">
              <a16:creationId xmlns:a16="http://schemas.microsoft.com/office/drawing/2014/main" id="{EE5A2169-F663-420C-A122-74C022A6AF6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5500" y="70526273"/>
          <a:ext cx="152400" cy="152400"/>
        </a:xfrm>
        <a:prstGeom prst="rect">
          <a:avLst/>
        </a:prstGeom>
      </xdr:spPr>
    </xdr:pic>
    <xdr:clientData/>
  </xdr:oneCellAnchor>
  <xdr:oneCellAnchor>
    <xdr:from>
      <xdr:col>1</xdr:col>
      <xdr:colOff>63500</xdr:colOff>
      <xdr:row>407</xdr:row>
      <xdr:rowOff>12698</xdr:rowOff>
    </xdr:from>
    <xdr:ext cx="152400" cy="152400"/>
    <xdr:pic>
      <xdr:nvPicPr>
        <xdr:cNvPr id="397" name="image1.png">
          <a:extLst>
            <a:ext uri="{FF2B5EF4-FFF2-40B4-BE49-F238E27FC236}">
              <a16:creationId xmlns:a16="http://schemas.microsoft.com/office/drawing/2014/main" id="{1C95EF35-8DFC-412E-9B19-CC17808FD11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5500" y="70697723"/>
          <a:ext cx="152400" cy="152400"/>
        </a:xfrm>
        <a:prstGeom prst="rect">
          <a:avLst/>
        </a:prstGeom>
      </xdr:spPr>
    </xdr:pic>
    <xdr:clientData/>
  </xdr:oneCellAnchor>
  <xdr:oneCellAnchor>
    <xdr:from>
      <xdr:col>1</xdr:col>
      <xdr:colOff>63500</xdr:colOff>
      <xdr:row>409</xdr:row>
      <xdr:rowOff>12698</xdr:rowOff>
    </xdr:from>
    <xdr:ext cx="152400" cy="152400"/>
    <xdr:pic>
      <xdr:nvPicPr>
        <xdr:cNvPr id="398" name="image4.png">
          <a:extLst>
            <a:ext uri="{FF2B5EF4-FFF2-40B4-BE49-F238E27FC236}">
              <a16:creationId xmlns:a16="http://schemas.microsoft.com/office/drawing/2014/main" id="{D82A44D3-24DA-4360-BB98-583512161CD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5500" y="71040623"/>
          <a:ext cx="152400" cy="152400"/>
        </a:xfrm>
        <a:prstGeom prst="rect">
          <a:avLst/>
        </a:prstGeom>
      </xdr:spPr>
    </xdr:pic>
    <xdr:clientData/>
  </xdr:oneCellAnchor>
  <xdr:oneCellAnchor>
    <xdr:from>
      <xdr:col>1</xdr:col>
      <xdr:colOff>63500</xdr:colOff>
      <xdr:row>410</xdr:row>
      <xdr:rowOff>12698</xdr:rowOff>
    </xdr:from>
    <xdr:ext cx="152400" cy="152400"/>
    <xdr:pic>
      <xdr:nvPicPr>
        <xdr:cNvPr id="399" name="image4.png">
          <a:extLst>
            <a:ext uri="{FF2B5EF4-FFF2-40B4-BE49-F238E27FC236}">
              <a16:creationId xmlns:a16="http://schemas.microsoft.com/office/drawing/2014/main" id="{37008C2D-647A-4CD9-8375-D2BC5576D22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5500" y="71212073"/>
          <a:ext cx="152400" cy="152400"/>
        </a:xfrm>
        <a:prstGeom prst="rect">
          <a:avLst/>
        </a:prstGeom>
      </xdr:spPr>
    </xdr:pic>
    <xdr:clientData/>
  </xdr:oneCellAnchor>
  <xdr:oneCellAnchor>
    <xdr:from>
      <xdr:col>1</xdr:col>
      <xdr:colOff>63500</xdr:colOff>
      <xdr:row>411</xdr:row>
      <xdr:rowOff>12698</xdr:rowOff>
    </xdr:from>
    <xdr:ext cx="152400" cy="152400"/>
    <xdr:pic>
      <xdr:nvPicPr>
        <xdr:cNvPr id="400" name="image1.png">
          <a:extLst>
            <a:ext uri="{FF2B5EF4-FFF2-40B4-BE49-F238E27FC236}">
              <a16:creationId xmlns:a16="http://schemas.microsoft.com/office/drawing/2014/main" id="{29A17180-2A5A-452C-BD33-E58CCDAE133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5500" y="71383523"/>
          <a:ext cx="152400" cy="152400"/>
        </a:xfrm>
        <a:prstGeom prst="rect">
          <a:avLst/>
        </a:prstGeom>
      </xdr:spPr>
    </xdr:pic>
    <xdr:clientData/>
  </xdr:oneCellAnchor>
  <xdr:oneCellAnchor>
    <xdr:from>
      <xdr:col>1</xdr:col>
      <xdr:colOff>63500</xdr:colOff>
      <xdr:row>412</xdr:row>
      <xdr:rowOff>12698</xdr:rowOff>
    </xdr:from>
    <xdr:ext cx="152400" cy="152400"/>
    <xdr:pic>
      <xdr:nvPicPr>
        <xdr:cNvPr id="401" name="image1.png">
          <a:extLst>
            <a:ext uri="{FF2B5EF4-FFF2-40B4-BE49-F238E27FC236}">
              <a16:creationId xmlns:a16="http://schemas.microsoft.com/office/drawing/2014/main" id="{768812F5-2FDA-4ABC-9C74-D72AAB1DDB2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5500" y="71554973"/>
          <a:ext cx="152400" cy="152400"/>
        </a:xfrm>
        <a:prstGeom prst="rect">
          <a:avLst/>
        </a:prstGeom>
      </xdr:spPr>
    </xdr:pic>
    <xdr:clientData/>
  </xdr:oneCellAnchor>
  <xdr:oneCellAnchor>
    <xdr:from>
      <xdr:col>1</xdr:col>
      <xdr:colOff>63500</xdr:colOff>
      <xdr:row>413</xdr:row>
      <xdr:rowOff>12698</xdr:rowOff>
    </xdr:from>
    <xdr:ext cx="152400" cy="152400"/>
    <xdr:pic>
      <xdr:nvPicPr>
        <xdr:cNvPr id="402" name="image1.png">
          <a:extLst>
            <a:ext uri="{FF2B5EF4-FFF2-40B4-BE49-F238E27FC236}">
              <a16:creationId xmlns:a16="http://schemas.microsoft.com/office/drawing/2014/main" id="{611E71EB-1745-4178-9B50-02107B68B8A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5500" y="71726423"/>
          <a:ext cx="152400" cy="152400"/>
        </a:xfrm>
        <a:prstGeom prst="rect">
          <a:avLst/>
        </a:prstGeom>
      </xdr:spPr>
    </xdr:pic>
    <xdr:clientData/>
  </xdr:oneCellAnchor>
  <xdr:oneCellAnchor>
    <xdr:from>
      <xdr:col>1</xdr:col>
      <xdr:colOff>63500</xdr:colOff>
      <xdr:row>414</xdr:row>
      <xdr:rowOff>12698</xdr:rowOff>
    </xdr:from>
    <xdr:ext cx="152400" cy="152400"/>
    <xdr:pic>
      <xdr:nvPicPr>
        <xdr:cNvPr id="403" name="image1.png">
          <a:extLst>
            <a:ext uri="{FF2B5EF4-FFF2-40B4-BE49-F238E27FC236}">
              <a16:creationId xmlns:a16="http://schemas.microsoft.com/office/drawing/2014/main" id="{E94E74A8-090F-49B8-A28F-CF0AE5DFC9B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5500" y="71897873"/>
          <a:ext cx="152400" cy="152400"/>
        </a:xfrm>
        <a:prstGeom prst="rect">
          <a:avLst/>
        </a:prstGeom>
      </xdr:spPr>
    </xdr:pic>
    <xdr:clientData/>
  </xdr:oneCellAnchor>
  <xdr:oneCellAnchor>
    <xdr:from>
      <xdr:col>1</xdr:col>
      <xdr:colOff>63500</xdr:colOff>
      <xdr:row>415</xdr:row>
      <xdr:rowOff>12698</xdr:rowOff>
    </xdr:from>
    <xdr:ext cx="152400" cy="152400"/>
    <xdr:pic>
      <xdr:nvPicPr>
        <xdr:cNvPr id="404" name="image1.png">
          <a:extLst>
            <a:ext uri="{FF2B5EF4-FFF2-40B4-BE49-F238E27FC236}">
              <a16:creationId xmlns:a16="http://schemas.microsoft.com/office/drawing/2014/main" id="{2002C888-4915-4724-B697-AD60D6F80A5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5500" y="72069323"/>
          <a:ext cx="152400" cy="152400"/>
        </a:xfrm>
        <a:prstGeom prst="rect">
          <a:avLst/>
        </a:prstGeom>
      </xdr:spPr>
    </xdr:pic>
    <xdr:clientData/>
  </xdr:oneCellAnchor>
  <xdr:oneCellAnchor>
    <xdr:from>
      <xdr:col>1</xdr:col>
      <xdr:colOff>63500</xdr:colOff>
      <xdr:row>416</xdr:row>
      <xdr:rowOff>12698</xdr:rowOff>
    </xdr:from>
    <xdr:ext cx="152400" cy="152400"/>
    <xdr:pic>
      <xdr:nvPicPr>
        <xdr:cNvPr id="405" name="image1.png">
          <a:extLst>
            <a:ext uri="{FF2B5EF4-FFF2-40B4-BE49-F238E27FC236}">
              <a16:creationId xmlns:a16="http://schemas.microsoft.com/office/drawing/2014/main" id="{5004B741-A5C8-4B67-A929-C50D2FE2EFE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5500" y="72240773"/>
          <a:ext cx="152400" cy="152400"/>
        </a:xfrm>
        <a:prstGeom prst="rect">
          <a:avLst/>
        </a:prstGeom>
      </xdr:spPr>
    </xdr:pic>
    <xdr:clientData/>
  </xdr:oneCellAnchor>
</xdr:wsDr>
</file>

<file path=xl/pivotCache/_rels/pivotCacheDefinition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bloth\Downloads\lib&#233;raux.xls" TargetMode="External"/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bloth\Downloads\lib&#233;raux.xls" TargetMode="External"/><Relationship Id="rId1" Type="http://schemas.openxmlformats.org/officeDocument/2006/relationships/pivotCacheRecords" Target="pivotCacheRecords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BRUNO LOTH" refreshedDate="45713.357706944444" createdVersion="1" refreshedVersion="6" recordCount="66" xr:uid="{73BBE62D-5A84-4466-BED0-AA5E4AE02C16}">
  <cacheSource type="worksheet">
    <worksheetSource ref="A1:N67" sheet="Part libéraux" r:id="rId2"/>
  </cacheSource>
  <cacheFields count="14">
    <cacheField name="Mandat" numFmtId="0">
      <sharedItems/>
    </cacheField>
    <cacheField name="Etat (PES Retour)" numFmtId="0">
      <sharedItems containsNonDate="0" containsString="0" containsBlank="1"/>
    </cacheField>
    <cacheField name="Bordereau" numFmtId="0">
      <sharedItems containsSemiMixedTypes="0" containsString="0" containsNumber="1" containsInteger="1" minValue="100032" maxValue="102129"/>
    </cacheField>
    <cacheField name="Fournisseur" numFmtId="0">
      <sharedItems count="6">
        <s v="003873 - Dr JORROT"/>
        <s v="003909 - DR KUTSAROV"/>
        <s v="004324 - SELAS DOCTEUR BERRAF"/>
        <s v="004401 - DR KERNANE"/>
        <s v="004449 - RJOB"/>
        <s v="012363 - FERY JEAN CHRISTOPHE"/>
      </sharedItems>
    </cacheField>
    <cacheField name="Montant TTC" numFmtId="0">
      <sharedItems containsSemiMixedTypes="0" containsString="0" containsNumber="1" minValue="536.38" maxValue="136021.32999999999"/>
    </cacheField>
    <cacheField name="Montant TVA récupérable" numFmtId="0">
      <sharedItems containsSemiMixedTypes="0" containsString="0" containsNumber="1" containsInteger="1" minValue="0" maxValue="0"/>
    </cacheField>
    <cacheField name="Type" numFmtId="0">
      <sharedItems/>
    </cacheField>
    <cacheField name="Nature" numFmtId="0">
      <sharedItems/>
    </cacheField>
    <cacheField name="Date mandatement" numFmtId="0">
      <sharedItems/>
    </cacheField>
    <cacheField name="Date prévisionnelle paiement" numFmtId="0">
      <sharedItems/>
    </cacheField>
    <cacheField name="Date paiement" numFmtId="0">
      <sharedItems/>
    </cacheField>
    <cacheField name="Mandat associé" numFmtId="0">
      <sharedItems/>
    </cacheField>
    <cacheField name="R" numFmtId="0">
      <sharedItems/>
    </cacheField>
    <cacheField name="Etat" numFmtId="0">
      <sharedItems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BRUNO LOTH" refreshedDate="45713.35798252315" createdVersion="1" refreshedVersion="6" recordCount="66" xr:uid="{F01BFBA9-7793-4CE8-9AE8-47D792EFDDE7}">
  <cacheSource type="worksheet">
    <worksheetSource ref="A1:P67" sheet="Redevance" r:id="rId2"/>
  </cacheSource>
  <cacheFields count="16">
    <cacheField name="Titre" numFmtId="0">
      <sharedItems/>
    </cacheField>
    <cacheField name="Etat (PES Retour)" numFmtId="0">
      <sharedItems/>
    </cacheField>
    <cacheField name="Bordereau" numFmtId="0">
      <sharedItems/>
    </cacheField>
    <cacheField name="Débiteur" numFmtId="0">
      <sharedItems count="6">
        <s v="001288 - FERY"/>
        <s v="006553 - KUTSAROV"/>
        <s v="007506 - RJOB"/>
        <s v="007371 - SELAS DOCTEUR BERRAF"/>
        <s v="006438 - JORROT"/>
        <s v="007487 - DR KERNANE"/>
      </sharedItems>
    </cacheField>
    <cacheField name="Type de titre" numFmtId="0">
      <sharedItems/>
    </cacheField>
    <cacheField name="Nature de titre" numFmtId="0">
      <sharedItems/>
    </cacheField>
    <cacheField name="Date émission" numFmtId="0">
      <sharedItems/>
    </cacheField>
    <cacheField name="Date extraction" numFmtId="0">
      <sharedItems/>
    </cacheField>
    <cacheField name="Date recette" numFmtId="0">
      <sharedItems/>
    </cacheField>
    <cacheField name="Date paiement" numFmtId="0">
      <sharedItems/>
    </cacheField>
    <cacheField name="Montant HT" numFmtId="0">
      <sharedItems containsSemiMixedTypes="0" containsString="0" containsNumber="1" minValue="134.09" maxValue="16105.88"/>
    </cacheField>
    <cacheField name="Montant TVA" numFmtId="0">
      <sharedItems containsSemiMixedTypes="0" containsString="0" containsNumber="1" minValue="26.82" maxValue="3221.17"/>
    </cacheField>
    <cacheField name="Montant TTC" numFmtId="0">
      <sharedItems containsSemiMixedTypes="0" containsString="0" containsNumber="1" minValue="160.91" maxValue="19327.05"/>
    </cacheField>
    <cacheField name="Soldé" numFmtId="0">
      <sharedItems/>
    </cacheField>
    <cacheField name="Etat" numFmtId="0">
      <sharedItems/>
    </cacheField>
    <cacheField name="Edité" numFmtId="0">
      <sharedItems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66">
  <r>
    <s v="100968"/>
    <m/>
    <n v="100082"/>
    <x v="0"/>
    <n v="3335.5"/>
    <n v="0"/>
    <s v="01 - Mandat ordinaire"/>
    <s v="01 - Fonctionnement"/>
    <s v="27/02/2024"/>
    <s v=""/>
    <s v="02/04/2024"/>
    <s v=""/>
    <s v="Non"/>
    <s v="Payé"/>
  </r>
  <r>
    <s v="102478"/>
    <m/>
    <n v="100205"/>
    <x v="0"/>
    <n v="2731.38"/>
    <n v="0"/>
    <s v="01 - Mandat ordinaire"/>
    <s v="01 - Fonctionnement"/>
    <s v="22/03/2024"/>
    <s v=""/>
    <s v="02/04/2024"/>
    <s v=""/>
    <s v="Non"/>
    <s v="Payé"/>
  </r>
  <r>
    <s v="107542"/>
    <m/>
    <n v="100566"/>
    <x v="0"/>
    <n v="4448.8100000000004"/>
    <n v="0"/>
    <s v="01 - Mandat ordinaire"/>
    <s v="01 - Fonctionnement"/>
    <s v="21/05/2024"/>
    <s v=""/>
    <s v="31/05/2024"/>
    <s v=""/>
    <s v="Non"/>
    <s v="Payé"/>
  </r>
  <r>
    <s v="110008"/>
    <m/>
    <n v="100744"/>
    <x v="0"/>
    <n v="536.38"/>
    <n v="0"/>
    <s v="01 - Mandat ordinaire"/>
    <s v="01 - Fonctionnement"/>
    <s v="14/06/2024"/>
    <s v=""/>
    <s v="02/07/2024"/>
    <s v=""/>
    <s v="Non"/>
    <s v="Payé"/>
  </r>
  <r>
    <s v="110009"/>
    <m/>
    <n v="100744"/>
    <x v="0"/>
    <n v="2197.98"/>
    <n v="0"/>
    <s v="01 - Mandat ordinaire"/>
    <s v="01 - Fonctionnement"/>
    <s v="14/06/2024"/>
    <s v=""/>
    <s v="02/07/2024"/>
    <s v=""/>
    <s v="Non"/>
    <s v="Payé"/>
  </r>
  <r>
    <s v="111888"/>
    <m/>
    <n v="100890"/>
    <x v="0"/>
    <n v="3921.37"/>
    <n v="0"/>
    <s v="01 - Mandat ordinaire"/>
    <s v="01 - Fonctionnement"/>
    <s v="11/07/2024"/>
    <s v=""/>
    <s v="16/07/2024"/>
    <s v=""/>
    <s v="Non"/>
    <s v="Payé"/>
  </r>
  <r>
    <s v="115731"/>
    <m/>
    <n v="101224"/>
    <x v="0"/>
    <n v="2116.35"/>
    <n v="0"/>
    <s v="01 - Mandat ordinaire"/>
    <s v="01 - Fonctionnement"/>
    <s v="28/08/2024"/>
    <s v=""/>
    <s v="11/09/2024"/>
    <s v=""/>
    <s v="Non"/>
    <s v="Payé"/>
  </r>
  <r>
    <s v="117897"/>
    <m/>
    <n v="101386"/>
    <x v="0"/>
    <n v="1927.37"/>
    <n v="0"/>
    <s v="01 - Mandat ordinaire"/>
    <s v="01 - Fonctionnement"/>
    <s v="25/09/2024"/>
    <s v=""/>
    <s v="08/10/2024"/>
    <s v=""/>
    <s v="Non"/>
    <s v="Payé"/>
  </r>
  <r>
    <s v="122909"/>
    <m/>
    <n v="101734"/>
    <x v="0"/>
    <n v="2118.42"/>
    <n v="0"/>
    <s v="01 - Mandat ordinaire"/>
    <s v="01 - Fonctionnement"/>
    <s v="19/11/2024"/>
    <s v=""/>
    <s v="03/12/2024"/>
    <s v=""/>
    <s v="Non"/>
    <s v="Payé"/>
  </r>
  <r>
    <s v="126452"/>
    <m/>
    <n v="102028"/>
    <x v="0"/>
    <n v="2202.6999999999998"/>
    <n v="0"/>
    <s v="01 - Mandat ordinaire"/>
    <s v="01 - Fonctionnement"/>
    <s v="10/01/2025"/>
    <s v=""/>
    <s v="20/01/2025"/>
    <s v=""/>
    <s v="Non"/>
    <s v="Payé"/>
  </r>
  <r>
    <s v="126453"/>
    <m/>
    <n v="102028"/>
    <x v="0"/>
    <n v="2377.4699999999998"/>
    <n v="0"/>
    <s v="01 - Mandat ordinaire"/>
    <s v="01 - Fonctionnement"/>
    <s v="10/01/2025"/>
    <s v=""/>
    <s v="20/01/2025"/>
    <s v=""/>
    <s v="Non"/>
    <s v="Payé"/>
  </r>
  <r>
    <s v="126454"/>
    <m/>
    <n v="102028"/>
    <x v="0"/>
    <n v="2342.36"/>
    <n v="0"/>
    <s v="01 - Mandat ordinaire"/>
    <s v="01 - Fonctionnement"/>
    <s v="10/01/2025"/>
    <s v=""/>
    <s v="20/01/2025"/>
    <s v=""/>
    <s v="Non"/>
    <s v="Payé"/>
  </r>
  <r>
    <s v="100153"/>
    <m/>
    <n v="100032"/>
    <x v="1"/>
    <n v="105302.73"/>
    <n v="0"/>
    <s v="01 - Mandat ordinaire"/>
    <s v="01 - Fonctionnement"/>
    <s v="12/02/2024"/>
    <s v=""/>
    <s v="16/02/2024"/>
    <s v=""/>
    <s v="Non"/>
    <s v="Payé"/>
  </r>
  <r>
    <s v="102479"/>
    <m/>
    <n v="100205"/>
    <x v="1"/>
    <n v="107181.51"/>
    <n v="0"/>
    <s v="01 - Mandat ordinaire"/>
    <s v="01 - Fonctionnement"/>
    <s v="22/03/2024"/>
    <s v=""/>
    <s v="02/04/2024"/>
    <s v=""/>
    <s v="Non"/>
    <s v="Payé"/>
  </r>
  <r>
    <s v="105076"/>
    <m/>
    <n v="100403"/>
    <x v="1"/>
    <n v="118045.12"/>
    <n v="0"/>
    <s v="01 - Mandat ordinaire"/>
    <s v="01 - Fonctionnement"/>
    <s v="22/04/2024"/>
    <s v=""/>
    <s v="29/04/2024"/>
    <s v=""/>
    <s v="Non"/>
    <s v="Payé"/>
  </r>
  <r>
    <s v="110012"/>
    <m/>
    <n v="100746"/>
    <x v="1"/>
    <n v="114900.06"/>
    <n v="0"/>
    <s v="01 - Mandat ordinaire"/>
    <s v="01 - Fonctionnement"/>
    <s v="14/06/2024"/>
    <s v=""/>
    <s v="02/07/2024"/>
    <s v=""/>
    <s v="Non"/>
    <s v="Payé"/>
  </r>
  <r>
    <s v="111191"/>
    <m/>
    <n v="100841"/>
    <x v="1"/>
    <n v="90360.1"/>
    <n v="0"/>
    <s v="01 - Mandat ordinaire"/>
    <s v="01 - Fonctionnement"/>
    <s v="04/07/2024"/>
    <s v=""/>
    <s v="16/07/2024"/>
    <s v=""/>
    <s v="Non"/>
    <s v="Payé"/>
  </r>
  <r>
    <s v="117380"/>
    <m/>
    <n v="101339"/>
    <x v="1"/>
    <n v="118668.26"/>
    <n v="0"/>
    <s v="01 - Mandat ordinaire"/>
    <s v="01 - Fonctionnement"/>
    <s v="13/09/2024"/>
    <s v=""/>
    <s v="26/09/2024"/>
    <s v=""/>
    <s v="Non"/>
    <s v="Payé"/>
  </r>
  <r>
    <s v="117382"/>
    <m/>
    <n v="101341"/>
    <x v="1"/>
    <n v="90902.83"/>
    <n v="0"/>
    <s v="01 - Mandat ordinaire"/>
    <s v="01 - Fonctionnement"/>
    <s v="13/09/2024"/>
    <s v=""/>
    <s v="26/09/2024"/>
    <s v=""/>
    <s v="Non"/>
    <s v="Payé"/>
  </r>
  <r>
    <s v="117898"/>
    <m/>
    <n v="101387"/>
    <x v="1"/>
    <n v="84487.25"/>
    <n v="0"/>
    <s v="01 - Mandat ordinaire"/>
    <s v="01 - Fonctionnement"/>
    <s v="25/09/2024"/>
    <s v=""/>
    <s v="08/10/2024"/>
    <s v=""/>
    <s v="Non"/>
    <s v="Payé"/>
  </r>
  <r>
    <s v="122908"/>
    <m/>
    <n v="101733"/>
    <x v="1"/>
    <n v="106181.16"/>
    <n v="0"/>
    <s v="01 - Mandat ordinaire"/>
    <s v="01 - Fonctionnement"/>
    <s v="18/11/2024"/>
    <s v=""/>
    <s v="25/11/2024"/>
    <s v=""/>
    <s v="Non"/>
    <s v="Payé"/>
  </r>
  <r>
    <s v="122911"/>
    <m/>
    <n v="101735"/>
    <x v="1"/>
    <n v="91369.31"/>
    <n v="0"/>
    <s v="01 - Mandat ordinaire"/>
    <s v="01 - Fonctionnement"/>
    <s v="19/11/2024"/>
    <s v=""/>
    <s v="03/12/2024"/>
    <s v=""/>
    <s v="Non"/>
    <s v="Payé"/>
  </r>
  <r>
    <s v="124467"/>
    <m/>
    <n v="101878"/>
    <x v="1"/>
    <n v="90781.26"/>
    <n v="0"/>
    <s v="01 - Mandat ordinaire"/>
    <s v="01 - Fonctionnement"/>
    <s v="13/12/2024"/>
    <s v=""/>
    <s v="23/12/2024"/>
    <s v=""/>
    <s v="Non"/>
    <s v="Payé"/>
  </r>
  <r>
    <s v="127354"/>
    <m/>
    <n v="102104"/>
    <x v="1"/>
    <n v="91865.83"/>
    <n v="0"/>
    <s v="01 - Mandat ordinaire"/>
    <s v="01 - Fonctionnement"/>
    <s v="23/01/2025"/>
    <s v=""/>
    <s v="11/02/2025"/>
    <s v=""/>
    <s v="Non"/>
    <s v="Payé"/>
  </r>
  <r>
    <s v="100531"/>
    <m/>
    <n v="100044"/>
    <x v="2"/>
    <n v="94332.3"/>
    <n v="0"/>
    <s v="01 - Mandat ordinaire"/>
    <s v="01 - Fonctionnement"/>
    <s v="19/02/2024"/>
    <s v=""/>
    <s v="23/02/2024"/>
    <s v=""/>
    <s v="Non"/>
    <s v="Payé"/>
  </r>
  <r>
    <s v="102480"/>
    <m/>
    <n v="100205"/>
    <x v="2"/>
    <n v="82296.92"/>
    <n v="0"/>
    <s v="01 - Mandat ordinaire"/>
    <s v="01 - Fonctionnement"/>
    <s v="22/03/2024"/>
    <s v=""/>
    <s v="02/04/2024"/>
    <s v=""/>
    <s v="Non"/>
    <s v="Payé"/>
  </r>
  <r>
    <s v="106277"/>
    <m/>
    <n v="100488"/>
    <x v="2"/>
    <n v="106766.79"/>
    <n v="0"/>
    <s v="01 - Mandat ordinaire"/>
    <s v="01 - Fonctionnement"/>
    <s v="03/05/2024"/>
    <s v=""/>
    <s v="22/05/2024"/>
    <s v=""/>
    <s v="Non"/>
    <s v="Payé"/>
  </r>
  <r>
    <s v="110011"/>
    <m/>
    <n v="100745"/>
    <x v="2"/>
    <n v="110625.44"/>
    <n v="0"/>
    <s v="01 - Mandat ordinaire"/>
    <s v="01 - Fonctionnement"/>
    <s v="14/06/2024"/>
    <s v=""/>
    <s v="01/07/2024"/>
    <s v=""/>
    <s v="Non"/>
    <s v="Payé"/>
  </r>
  <r>
    <s v="111878"/>
    <m/>
    <n v="100885"/>
    <x v="2"/>
    <n v="96467.14"/>
    <n v="0"/>
    <s v="01 - Mandat ordinaire"/>
    <s v="01 - Fonctionnement"/>
    <s v="09/07/2024"/>
    <s v=""/>
    <s v="16/07/2024"/>
    <s v=""/>
    <s v="Non"/>
    <s v="Payé"/>
  </r>
  <r>
    <s v="117381"/>
    <m/>
    <n v="101340"/>
    <x v="2"/>
    <n v="82419.990000000005"/>
    <n v="0"/>
    <s v="01 - Mandat ordinaire"/>
    <s v="01 - Fonctionnement"/>
    <s v="13/09/2024"/>
    <s v=""/>
    <s v="26/09/2024"/>
    <s v=""/>
    <s v="Non"/>
    <s v="Payé"/>
  </r>
  <r>
    <s v="120241"/>
    <m/>
    <n v="101570"/>
    <x v="2"/>
    <n v="108333.79"/>
    <n v="0"/>
    <s v="01 - Mandat ordinaire"/>
    <s v="01 - Fonctionnement"/>
    <s v="23/10/2024"/>
    <s v=""/>
    <s v="07/11/2024"/>
    <s v=""/>
    <s v="Non"/>
    <s v="Payé"/>
  </r>
  <r>
    <s v="123938"/>
    <m/>
    <n v="101835"/>
    <x v="2"/>
    <n v="80223.39"/>
    <n v="0"/>
    <s v="01 - Mandat ordinaire"/>
    <s v="01 - Fonctionnement"/>
    <s v="10/12/2024"/>
    <s v=""/>
    <s v="24/12/2024"/>
    <s v=""/>
    <s v="Non"/>
    <s v="Payé"/>
  </r>
  <r>
    <s v="123940"/>
    <m/>
    <n v="101837"/>
    <x v="2"/>
    <n v="131450.56"/>
    <n v="0"/>
    <s v="01 - Mandat ordinaire"/>
    <s v="01 - Fonctionnement"/>
    <s v="10/12/2024"/>
    <s v=""/>
    <s v="23/12/2024"/>
    <s v=""/>
    <s v="Non"/>
    <s v="Payé"/>
  </r>
  <r>
    <s v="127575"/>
    <m/>
    <n v="102129"/>
    <x v="2"/>
    <n v="136021.32999999999"/>
    <n v="0"/>
    <s v="01 - Mandat ordinaire"/>
    <s v="01 - Fonctionnement"/>
    <s v="27/01/2025"/>
    <s v=""/>
    <s v="18/02/2025"/>
    <s v=""/>
    <s v="Non"/>
    <s v="Payé"/>
  </r>
  <r>
    <s v="100969"/>
    <m/>
    <n v="100082"/>
    <x v="3"/>
    <n v="22776.84"/>
    <n v="0"/>
    <s v="01 - Mandat ordinaire"/>
    <s v="01 - Fonctionnement"/>
    <s v="27/02/2024"/>
    <s v=""/>
    <s v="02/04/2024"/>
    <s v=""/>
    <s v="Non"/>
    <s v="Payé"/>
  </r>
  <r>
    <s v="102481"/>
    <m/>
    <n v="100205"/>
    <x v="3"/>
    <n v="25532.22"/>
    <n v="0"/>
    <s v="01 - Mandat ordinaire"/>
    <s v="01 - Fonctionnement"/>
    <s v="22/03/2024"/>
    <s v=""/>
    <s v="02/04/2024"/>
    <s v=""/>
    <s v="Non"/>
    <s v="Payé"/>
  </r>
  <r>
    <s v="106278"/>
    <m/>
    <n v="100488"/>
    <x v="3"/>
    <n v="33604.699999999997"/>
    <n v="0"/>
    <s v="01 - Mandat ordinaire"/>
    <s v="01 - Fonctionnement"/>
    <s v="03/05/2024"/>
    <s v=""/>
    <s v="22/05/2024"/>
    <s v=""/>
    <s v="Non"/>
    <s v="Payé"/>
  </r>
  <r>
    <s v="108935"/>
    <m/>
    <n v="100661"/>
    <x v="3"/>
    <n v="27003.24"/>
    <n v="0"/>
    <s v="01 - Mandat ordinaire"/>
    <s v="01 - Fonctionnement"/>
    <s v="31/05/2024"/>
    <s v=""/>
    <s v="02/07/2024"/>
    <s v=""/>
    <s v="Non"/>
    <s v="Payé"/>
  </r>
  <r>
    <s v="111879"/>
    <m/>
    <n v="100886"/>
    <x v="3"/>
    <n v="32304.68"/>
    <n v="0"/>
    <s v="01 - Mandat ordinaire"/>
    <s v="01 - Fonctionnement"/>
    <s v="09/07/2024"/>
    <s v=""/>
    <s v="16/07/2024"/>
    <s v=""/>
    <s v="Non"/>
    <s v="Payé"/>
  </r>
  <r>
    <s v="111880"/>
    <m/>
    <n v="100886"/>
    <x v="3"/>
    <n v="41677.279999999999"/>
    <n v="0"/>
    <s v="01 - Mandat ordinaire"/>
    <s v="01 - Fonctionnement"/>
    <s v="09/07/2024"/>
    <s v=""/>
    <s v="16/07/2024"/>
    <s v=""/>
    <s v="Non"/>
    <s v="Payé"/>
  </r>
  <r>
    <s v="115732"/>
    <m/>
    <n v="101224"/>
    <x v="3"/>
    <n v="34510.74"/>
    <n v="0"/>
    <s v="01 - Mandat ordinaire"/>
    <s v="01 - Fonctionnement"/>
    <s v="28/08/2024"/>
    <s v=""/>
    <s v="11/09/2024"/>
    <s v=""/>
    <s v="Non"/>
    <s v="Payé"/>
  </r>
  <r>
    <s v="117377"/>
    <m/>
    <n v="101338"/>
    <x v="3"/>
    <n v="33751.660000000003"/>
    <n v="0"/>
    <s v="01 - Mandat ordinaire"/>
    <s v="01 - Fonctionnement"/>
    <s v="13/09/2024"/>
    <s v=""/>
    <s v="26/09/2024"/>
    <s v=""/>
    <s v="Non"/>
    <s v="Payé"/>
  </r>
  <r>
    <s v="100154"/>
    <m/>
    <n v="100032"/>
    <x v="4"/>
    <n v="6269.46"/>
    <n v="0"/>
    <s v="01 - Mandat ordinaire"/>
    <s v="01 - Fonctionnement"/>
    <s v="12/02/2024"/>
    <s v=""/>
    <s v="16/02/2024"/>
    <s v=""/>
    <s v="Non"/>
    <s v="Payé"/>
  </r>
  <r>
    <s v="100532"/>
    <m/>
    <n v="100044"/>
    <x v="4"/>
    <n v="13340.46"/>
    <n v="0"/>
    <s v="01 - Mandat ordinaire"/>
    <s v="01 - Fonctionnement"/>
    <s v="19/02/2024"/>
    <s v=""/>
    <s v="23/02/2024"/>
    <s v=""/>
    <s v="Non"/>
    <s v="Payé"/>
  </r>
  <r>
    <s v="102482"/>
    <m/>
    <n v="100205"/>
    <x v="4"/>
    <n v="10070.52"/>
    <n v="0"/>
    <s v="01 - Mandat ordinaire"/>
    <s v="01 - Fonctionnement"/>
    <s v="22/03/2024"/>
    <s v=""/>
    <s v="02/04/2024"/>
    <s v=""/>
    <s v="Non"/>
    <s v="Payé"/>
  </r>
  <r>
    <s v="105075"/>
    <m/>
    <n v="100402"/>
    <x v="4"/>
    <n v="7252.89"/>
    <n v="0"/>
    <s v="01 - Mandat ordinaire"/>
    <s v="01 - Fonctionnement"/>
    <s v="22/04/2024"/>
    <s v=""/>
    <s v="29/04/2024"/>
    <s v=""/>
    <s v="Non"/>
    <s v="Payé"/>
  </r>
  <r>
    <s v="108936"/>
    <m/>
    <n v="100662"/>
    <x v="4"/>
    <n v="10122.540000000001"/>
    <n v="0"/>
    <s v="01 - Mandat ordinaire"/>
    <s v="01 - Fonctionnement"/>
    <s v="05/06/2024"/>
    <s v=""/>
    <s v="27/06/2024"/>
    <s v=""/>
    <s v="Non"/>
    <s v="Payé"/>
  </r>
  <r>
    <s v="111881"/>
    <m/>
    <n v="100886"/>
    <x v="4"/>
    <n v="10327.44"/>
    <n v="0"/>
    <s v="01 - Mandat ordinaire"/>
    <s v="01 - Fonctionnement"/>
    <s v="09/07/2024"/>
    <s v=""/>
    <s v="16/07/2024"/>
    <s v=""/>
    <s v="Non"/>
    <s v="Payé"/>
  </r>
  <r>
    <s v="115733"/>
    <m/>
    <n v="101224"/>
    <x v="4"/>
    <n v="9834.35"/>
    <n v="0"/>
    <s v="01 - Mandat ordinaire"/>
    <s v="01 - Fonctionnement"/>
    <s v="28/08/2024"/>
    <s v=""/>
    <s v="11/09/2024"/>
    <s v=""/>
    <s v="Non"/>
    <s v="Payé"/>
  </r>
  <r>
    <s v="117378"/>
    <m/>
    <n v="101338"/>
    <x v="4"/>
    <n v="9508.7999999999993"/>
    <n v="0"/>
    <s v="01 - Mandat ordinaire"/>
    <s v="01 - Fonctionnement"/>
    <s v="13/09/2024"/>
    <s v=""/>
    <s v="26/09/2024"/>
    <s v=""/>
    <s v="Non"/>
    <s v="Payé"/>
  </r>
  <r>
    <s v="120238"/>
    <m/>
    <n v="101567"/>
    <x v="4"/>
    <n v="16177.89"/>
    <n v="0"/>
    <s v="01 - Mandat ordinaire"/>
    <s v="01 - Fonctionnement"/>
    <s v="18/10/2024"/>
    <s v=""/>
    <s v="24/10/2024"/>
    <s v=""/>
    <s v="Non"/>
    <s v="Payé"/>
  </r>
  <r>
    <s v="122348"/>
    <m/>
    <n v="101690"/>
    <x v="4"/>
    <n v="21348.58"/>
    <n v="0"/>
    <s v="01 - Mandat ordinaire"/>
    <s v="01 - Fonctionnement"/>
    <s v="12/11/2024"/>
    <s v=""/>
    <s v="26/11/2024"/>
    <s v=""/>
    <s v="Non"/>
    <s v="Payé"/>
  </r>
  <r>
    <s v="123939"/>
    <m/>
    <n v="101836"/>
    <x v="4"/>
    <n v="17673.560000000001"/>
    <n v="0"/>
    <s v="01 - Mandat ordinaire"/>
    <s v="01 - Fonctionnement"/>
    <s v="10/12/2024"/>
    <s v=""/>
    <s v="23/12/2024"/>
    <s v=""/>
    <s v="Non"/>
    <s v="Payé"/>
  </r>
  <r>
    <s v="126526"/>
    <m/>
    <n v="102030"/>
    <x v="4"/>
    <n v="19352.37"/>
    <n v="0"/>
    <s v="01 - Mandat ordinaire"/>
    <s v="01 - Fonctionnement"/>
    <s v="15/01/2025"/>
    <s v=""/>
    <s v="14/02/2025"/>
    <s v=""/>
    <s v="Non"/>
    <s v="Payé"/>
  </r>
  <r>
    <s v="100155"/>
    <m/>
    <n v="100032"/>
    <x v="5"/>
    <n v="3205.69"/>
    <n v="0"/>
    <s v="01 - Mandat ordinaire"/>
    <s v="01 - Fonctionnement"/>
    <s v="12/02/2024"/>
    <s v=""/>
    <s v="16/02/2024"/>
    <s v=""/>
    <s v="Non"/>
    <s v="Payé"/>
  </r>
  <r>
    <s v="102483"/>
    <m/>
    <n v="100206"/>
    <x v="5"/>
    <n v="2719.43"/>
    <n v="0"/>
    <s v="01 - Mandat ordinaire"/>
    <s v="01 - Fonctionnement"/>
    <s v="22/03/2024"/>
    <s v=""/>
    <s v="03/04/2024"/>
    <s v=""/>
    <s v="Non"/>
    <s v="Payé"/>
  </r>
  <r>
    <s v="107543"/>
    <m/>
    <n v="100566"/>
    <x v="5"/>
    <n v="2312.69"/>
    <n v="0"/>
    <s v="01 - Mandat ordinaire"/>
    <s v="01 - Fonctionnement"/>
    <s v="21/05/2024"/>
    <s v=""/>
    <s v="31/05/2024"/>
    <s v=""/>
    <s v="Non"/>
    <s v="Payé"/>
  </r>
  <r>
    <s v="107544"/>
    <m/>
    <n v="100566"/>
    <x v="5"/>
    <n v="2324.64"/>
    <n v="0"/>
    <s v="01 - Mandat ordinaire"/>
    <s v="01 - Fonctionnement"/>
    <s v="21/05/2024"/>
    <s v=""/>
    <s v="31/05/2024"/>
    <s v=""/>
    <s v="Non"/>
    <s v="Payé"/>
  </r>
  <r>
    <s v="110010"/>
    <m/>
    <n v="100744"/>
    <x v="5"/>
    <n v="2277.9699999999998"/>
    <n v="0"/>
    <s v="01 - Mandat ordinaire"/>
    <s v="01 - Fonctionnement"/>
    <s v="14/06/2024"/>
    <s v=""/>
    <s v="02/07/2024"/>
    <s v=""/>
    <s v="Non"/>
    <s v="Payé"/>
  </r>
  <r>
    <s v="113252"/>
    <m/>
    <n v="101005"/>
    <x v="5"/>
    <n v="1949.72"/>
    <n v="0"/>
    <s v="01 - Mandat ordinaire"/>
    <s v="01 - Fonctionnement"/>
    <s v="22/07/2024"/>
    <s v=""/>
    <s v="25/07/2024"/>
    <s v=""/>
    <s v="Non"/>
    <s v="Payé"/>
  </r>
  <r>
    <s v="115734"/>
    <m/>
    <n v="101224"/>
    <x v="5"/>
    <n v="1169.6600000000001"/>
    <n v="0"/>
    <s v="01 - Mandat ordinaire"/>
    <s v="01 - Fonctionnement"/>
    <s v="28/08/2024"/>
    <s v=""/>
    <s v="11/09/2024"/>
    <s v=""/>
    <s v="Non"/>
    <s v="Payé"/>
  </r>
  <r>
    <s v="117379"/>
    <m/>
    <n v="101338"/>
    <x v="5"/>
    <n v="1774.16"/>
    <n v="0"/>
    <s v="01 - Mandat ordinaire"/>
    <s v="01 - Fonctionnement"/>
    <s v="13/09/2024"/>
    <s v=""/>
    <s v="26/09/2024"/>
    <s v=""/>
    <s v="Non"/>
    <s v="Payé"/>
  </r>
  <r>
    <s v="120242"/>
    <m/>
    <n v="101570"/>
    <x v="5"/>
    <n v="2364.54"/>
    <n v="0"/>
    <s v="01 - Mandat ordinaire"/>
    <s v="01 - Fonctionnement"/>
    <s v="23/10/2024"/>
    <s v=""/>
    <s v="07/11/2024"/>
    <s v=""/>
    <s v="Non"/>
    <s v="Payé"/>
  </r>
  <r>
    <s v="122910"/>
    <m/>
    <n v="101734"/>
    <x v="5"/>
    <n v="2560.4499999999998"/>
    <n v="0"/>
    <s v="01 - Mandat ordinaire"/>
    <s v="01 - Fonctionnement"/>
    <s v="19/11/2024"/>
    <s v=""/>
    <s v="03/12/2024"/>
    <s v=""/>
    <s v="Non"/>
    <s v="Payé"/>
  </r>
  <r>
    <s v="124586"/>
    <m/>
    <n v="101892"/>
    <x v="5"/>
    <n v="1861.23"/>
    <n v="0"/>
    <s v="01 - Mandat ordinaire"/>
    <s v="01 - Fonctionnement"/>
    <s v="17/12/2024"/>
    <s v=""/>
    <s v="23/12/2024"/>
    <s v=""/>
    <s v="Non"/>
    <s v="Payé"/>
  </r>
  <r>
    <s v="126455"/>
    <m/>
    <n v="102028"/>
    <x v="5"/>
    <n v="1100.29"/>
    <n v="0"/>
    <s v="01 - Mandat ordinaire"/>
    <s v="01 - Fonctionnement"/>
    <s v="10/01/2025"/>
    <s v=""/>
    <s v="20/01/2025"/>
    <s v=""/>
    <s v="Non"/>
    <s v="Payé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66">
  <r>
    <s v="27830"/>
    <s v=""/>
    <s v="2004"/>
    <x v="0"/>
    <s v="01 - Titre ordinaire"/>
    <s v="01 - Fonctionnement"/>
    <s v="12/02/2024"/>
    <s v="12/02/2024"/>
    <s v="12/02/2024"/>
    <s v=""/>
    <n v="741.43"/>
    <n v="148.28"/>
    <n v="889.71"/>
    <s v="Non"/>
    <s v="Emission"/>
    <s v="Edité"/>
  </r>
  <r>
    <s v="27831"/>
    <s v=""/>
    <s v="2004"/>
    <x v="1"/>
    <s v="01 - Titre ordinaire"/>
    <s v="01 - Fonctionnement"/>
    <s v="12/02/2024"/>
    <s v="12/02/2024"/>
    <s v="12/02/2024"/>
    <s v=""/>
    <n v="14539.81"/>
    <n v="2907.96"/>
    <n v="17447.77"/>
    <s v="Non"/>
    <s v="Emission"/>
    <s v="Edité"/>
  </r>
  <r>
    <s v="27832"/>
    <s v=""/>
    <s v="2004"/>
    <x v="2"/>
    <s v="01 - Titre ordinaire"/>
    <s v="01 - Fonctionnement"/>
    <s v="12/02/2024"/>
    <s v="12/02/2024"/>
    <s v="12/02/2024"/>
    <s v=""/>
    <n v="1567.37"/>
    <n v="313.47000000000003"/>
    <n v="1880.84"/>
    <s v="Non"/>
    <s v="Emission"/>
    <s v="Edité"/>
  </r>
  <r>
    <s v="28449"/>
    <s v=""/>
    <s v="2014"/>
    <x v="3"/>
    <s v="01 - Titre ordinaire"/>
    <s v="01 - Fonctionnement"/>
    <s v="19/02/2024"/>
    <s v="19/02/2024"/>
    <s v="19/02/2024"/>
    <s v=""/>
    <n v="9965.2199999999993"/>
    <n v="1993.04"/>
    <n v="11958.26"/>
    <s v="Non"/>
    <s v="Emission"/>
    <s v="Edité"/>
  </r>
  <r>
    <s v="28450"/>
    <s v=""/>
    <s v="2014"/>
    <x v="2"/>
    <s v="01 - Titre ordinaire"/>
    <s v="01 - Fonctionnement"/>
    <s v="19/02/2024"/>
    <s v="19/02/2024"/>
    <s v="19/02/2024"/>
    <s v=""/>
    <n v="3335.12"/>
    <n v="667.02"/>
    <n v="4002.14"/>
    <s v="Non"/>
    <s v="Emission"/>
    <s v="Edité"/>
  </r>
  <r>
    <s v="38892"/>
    <s v=""/>
    <s v="2032"/>
    <x v="4"/>
    <s v="01 - Titre ordinaire"/>
    <s v="01 - Fonctionnement"/>
    <s v="27/02/2024"/>
    <s v="27/02/2024"/>
    <s v="27/02/2024"/>
    <s v=""/>
    <n v="608.13"/>
    <n v="121.62"/>
    <n v="729.75"/>
    <s v="Non"/>
    <s v="Emission"/>
    <s v="Edité"/>
  </r>
  <r>
    <s v="38893"/>
    <s v=""/>
    <s v="2032"/>
    <x v="5"/>
    <s v="01 - Titre ordinaire"/>
    <s v="01 - Fonctionnement"/>
    <s v="27/02/2024"/>
    <s v="27/02/2024"/>
    <s v="27/02/2024"/>
    <s v=""/>
    <n v="3475.62"/>
    <n v="695.12"/>
    <n v="4170.74"/>
    <s v="Non"/>
    <s v="Emission"/>
    <s v="Edité"/>
  </r>
  <r>
    <s v="56706"/>
    <s v=""/>
    <s v="2059"/>
    <x v="0"/>
    <s v="01 - Titre ordinaire"/>
    <s v="01 - Fonctionnement"/>
    <s v="21/03/2024"/>
    <s v="21/03/2024"/>
    <s v="21/03/2024"/>
    <s v=""/>
    <n v="619.86"/>
    <n v="123.97"/>
    <n v="743.83"/>
    <s v="Non"/>
    <s v="Emission"/>
    <s v="Edité"/>
  </r>
  <r>
    <s v="56707"/>
    <s v=""/>
    <s v="2059"/>
    <x v="4"/>
    <s v="01 - Titre ordinaire"/>
    <s v="01 - Fonctionnement"/>
    <s v="21/03/2024"/>
    <s v="21/03/2024"/>
    <s v="21/03/2024"/>
    <s v=""/>
    <n v="552.17999999999995"/>
    <n v="110.43"/>
    <n v="662.61"/>
    <s v="Non"/>
    <s v="Emission"/>
    <s v="Edité"/>
  </r>
  <r>
    <s v="56708"/>
    <s v=""/>
    <s v="2059"/>
    <x v="1"/>
    <s v="01 - Titre ordinaire"/>
    <s v="01 - Fonctionnement"/>
    <s v="21/03/2024"/>
    <s v="21/03/2024"/>
    <s v="21/03/2024"/>
    <s v=""/>
    <n v="14099.38"/>
    <n v="2819.87"/>
    <n v="16919.25"/>
    <s v="Non"/>
    <s v="Emission"/>
    <s v="Edité"/>
  </r>
  <r>
    <s v="56709"/>
    <s v=""/>
    <s v="2059"/>
    <x v="3"/>
    <s v="01 - Titre ordinaire"/>
    <s v="01 - Fonctionnement"/>
    <s v="21/03/2024"/>
    <s v="21/03/2024"/>
    <s v="21/03/2024"/>
    <s v=""/>
    <n v="9940.65"/>
    <n v="1988.13"/>
    <n v="11928.78"/>
    <s v="Non"/>
    <s v="Emission"/>
    <s v="Edité"/>
  </r>
  <r>
    <s v="56710"/>
    <s v=""/>
    <s v="2059"/>
    <x v="5"/>
    <s v="01 - Titre ordinaire"/>
    <s v="01 - Fonctionnement"/>
    <s v="21/03/2024"/>
    <s v="21/03/2024"/>
    <s v="21/03/2024"/>
    <s v=""/>
    <n v="3757.18"/>
    <n v="751.44"/>
    <n v="4508.62"/>
    <s v="Non"/>
    <s v="Emission"/>
    <s v="Edité"/>
  </r>
  <r>
    <s v="56711"/>
    <s v=""/>
    <s v="2059"/>
    <x v="2"/>
    <s v="01 - Titre ordinaire"/>
    <s v="01 - Fonctionnement"/>
    <s v="21/03/2024"/>
    <s v="21/03/2024"/>
    <s v="21/03/2024"/>
    <s v=""/>
    <n v="2517.63"/>
    <n v="503.53"/>
    <n v="3021.16"/>
    <s v="Non"/>
    <s v="Emission"/>
    <s v="Edité"/>
  </r>
  <r>
    <s v="62260"/>
    <s v=""/>
    <s v="2077"/>
    <x v="1"/>
    <s v="01 - Titre ordinaire"/>
    <s v="01 - Fonctionnement"/>
    <s v="12/04/2024"/>
    <s v="12/04/2024"/>
    <s v="12/04/2024"/>
    <s v=""/>
    <n v="14784.66"/>
    <n v="2956.93"/>
    <n v="17741.59"/>
    <s v="Non"/>
    <s v="Emission"/>
    <s v="Edité"/>
  </r>
  <r>
    <s v="62261"/>
    <s v=""/>
    <s v="2077"/>
    <x v="2"/>
    <s v="01 - Titre ordinaire"/>
    <s v="01 - Fonctionnement"/>
    <s v="12/04/2024"/>
    <s v="12/04/2024"/>
    <s v="12/04/2024"/>
    <s v=""/>
    <n v="1813.23"/>
    <n v="362.64"/>
    <n v="2175.87"/>
    <s v="Non"/>
    <s v="Emission"/>
    <s v="Edité"/>
  </r>
  <r>
    <s v="70923"/>
    <s v=""/>
    <s v="2092"/>
    <x v="3"/>
    <s v="01 - Titre ordinaire"/>
    <s v="01 - Fonctionnement"/>
    <s v="03/05/2024"/>
    <s v="03/05/2024"/>
    <s v="03/05/2024"/>
    <s v=""/>
    <n v="13279.72"/>
    <n v="2655.94"/>
    <n v="15935.66"/>
    <s v="Non"/>
    <s v="Emission"/>
    <s v="Edité"/>
  </r>
  <r>
    <s v="70924"/>
    <s v=""/>
    <s v="2092"/>
    <x v="5"/>
    <s v="01 - Titre ordinaire"/>
    <s v="01 - Fonctionnement"/>
    <s v="03/05/2024"/>
    <s v="03/05/2024"/>
    <s v="03/05/2024"/>
    <s v=""/>
    <n v="5011.92"/>
    <n v="1002.38"/>
    <n v="6014.3"/>
    <s v="Non"/>
    <s v="Emission"/>
    <s v="Edité"/>
  </r>
  <r>
    <s v="82497"/>
    <s v=""/>
    <s v="2113"/>
    <x v="0"/>
    <s v="01 - Titre ordinaire"/>
    <s v="01 - Fonctionnement"/>
    <s v="17/05/2024"/>
    <s v="17/05/2024"/>
    <s v="17/05/2024"/>
    <s v=""/>
    <n v="521.16"/>
    <n v="104.23"/>
    <n v="625.39"/>
    <s v="Non"/>
    <s v="Emission"/>
    <s v="Edité"/>
  </r>
  <r>
    <s v="82498"/>
    <s v=""/>
    <s v="2113"/>
    <x v="0"/>
    <s v="01 - Titre ordinaire"/>
    <s v="01 - Fonctionnement"/>
    <s v="17/05/2024"/>
    <s v="17/05/2024"/>
    <s v="17/05/2024"/>
    <s v=""/>
    <n v="533.17999999999995"/>
    <n v="106.63"/>
    <n v="639.80999999999995"/>
    <s v="Non"/>
    <s v="Emission"/>
    <s v="Edité"/>
  </r>
  <r>
    <s v="82499"/>
    <s v=""/>
    <s v="2113"/>
    <x v="4"/>
    <s v="01 - Titre ordinaire"/>
    <s v="01 - Fonctionnement"/>
    <s v="17/05/2024"/>
    <s v="17/05/2024"/>
    <s v="17/05/2024"/>
    <s v=""/>
    <n v="842.67"/>
    <n v="168.53"/>
    <n v="1011.2"/>
    <s v="Non"/>
    <s v="Emission"/>
    <s v="Edité"/>
  </r>
  <r>
    <s v="99447"/>
    <s v=""/>
    <s v="2138"/>
    <x v="5"/>
    <s v="01 - Titre ordinaire"/>
    <s v="01 - Fonctionnement"/>
    <s v="31/05/2024"/>
    <s v="31/05/2024"/>
    <s v="31/05/2024"/>
    <s v=""/>
    <n v="4525.2700000000004"/>
    <n v="905.05"/>
    <n v="5430.32"/>
    <s v="Non"/>
    <s v="Emission"/>
    <s v="Edité"/>
  </r>
  <r>
    <s v="99462"/>
    <s v=""/>
    <s v="2141"/>
    <x v="2"/>
    <s v="01 - Titre ordinaire"/>
    <s v="01 - Fonctionnement"/>
    <s v="05/06/2024"/>
    <s v="05/06/2024"/>
    <s v="05/06/2024"/>
    <s v=""/>
    <n v="2530.63"/>
    <n v="506.13"/>
    <n v="3036.76"/>
    <s v="Non"/>
    <s v="Emission"/>
    <s v="Edité"/>
  </r>
  <r>
    <s v="112187"/>
    <s v=""/>
    <s v="2162"/>
    <x v="0"/>
    <s v="01 - Titre ordinaire"/>
    <s v="01 - Fonctionnement"/>
    <s v="14/06/2024"/>
    <s v="14/06/2024"/>
    <s v="14/06/2024"/>
    <s v=""/>
    <n v="509.49"/>
    <n v="101.9"/>
    <n v="611.39"/>
    <s v="Non"/>
    <s v="Emission"/>
    <s v="Edité"/>
  </r>
  <r>
    <s v="112188"/>
    <s v=""/>
    <s v="2162"/>
    <x v="4"/>
    <s v="01 - Titre ordinaire"/>
    <s v="01 - Fonctionnement"/>
    <s v="14/06/2024"/>
    <s v="14/06/2024"/>
    <s v="14/06/2024"/>
    <s v=""/>
    <n v="134.09"/>
    <n v="26.82"/>
    <n v="160.91"/>
    <s v="Non"/>
    <s v="Emission"/>
    <s v="Edité"/>
  </r>
  <r>
    <s v="112189"/>
    <s v=""/>
    <s v="2162"/>
    <x v="4"/>
    <s v="01 - Titre ordinaire"/>
    <s v="01 - Fonctionnement"/>
    <s v="14/06/2024"/>
    <s v="14/06/2024"/>
    <s v="14/06/2024"/>
    <s v=""/>
    <n v="351.24"/>
    <n v="70.25"/>
    <n v="421.49"/>
    <s v="Non"/>
    <s v="Emission"/>
    <s v="Edité"/>
  </r>
  <r>
    <s v="112190"/>
    <s v=""/>
    <s v="2162"/>
    <x v="1"/>
    <s v="01 - Titre ordinaire"/>
    <s v="01 - Fonctionnement"/>
    <s v="14/06/2024"/>
    <s v="14/06/2024"/>
    <s v="14/06/2024"/>
    <s v=""/>
    <n v="14800.06"/>
    <n v="2960.01"/>
    <n v="17760.07"/>
    <s v="Non"/>
    <s v="Emission"/>
    <s v="Edité"/>
  </r>
  <r>
    <s v="112191"/>
    <s v=""/>
    <s v="2162"/>
    <x v="3"/>
    <s v="01 - Titre ordinaire"/>
    <s v="01 - Fonctionnement"/>
    <s v="14/06/2024"/>
    <s v="14/06/2024"/>
    <s v="14/06/2024"/>
    <s v=""/>
    <n v="14273.07"/>
    <n v="2854.61"/>
    <n v="17127.68"/>
    <s v="Non"/>
    <s v="Emission"/>
    <s v="Edité"/>
  </r>
  <r>
    <s v="133248"/>
    <s v=""/>
    <s v="2194"/>
    <x v="1"/>
    <s v="01 - Titre ordinaire"/>
    <s v="01 - Fonctionnement"/>
    <s v="08/07/2024"/>
    <s v="08/07/2024"/>
    <s v="08/07/2024"/>
    <s v=""/>
    <n v="11434.3"/>
    <n v="2286.86"/>
    <n v="13721.16"/>
    <s v="Non"/>
    <s v="Emission"/>
    <s v="Edité"/>
  </r>
  <r>
    <s v="133249"/>
    <s v=""/>
    <s v="2194"/>
    <x v="3"/>
    <s v="01 - Titre ordinaire"/>
    <s v="01 - Fonctionnement"/>
    <s v="08/07/2024"/>
    <s v="08/07/2024"/>
    <s v="08/07/2024"/>
    <s v=""/>
    <n v="11411.84"/>
    <n v="2282.37"/>
    <n v="13694.21"/>
    <s v="Non"/>
    <s v="Emission"/>
    <s v="Edité"/>
  </r>
  <r>
    <s v="133250"/>
    <s v=""/>
    <s v="2194"/>
    <x v="5"/>
    <s v="01 - Titre ordinaire"/>
    <s v="01 - Fonctionnement"/>
    <s v="08/07/2024"/>
    <s v="08/07/2024"/>
    <s v="08/07/2024"/>
    <s v=""/>
    <n v="6135.87"/>
    <n v="1227.17"/>
    <n v="7363.04"/>
    <s v="Non"/>
    <s v="Emission"/>
    <s v="Edité"/>
  </r>
  <r>
    <s v="133251"/>
    <s v=""/>
    <s v="2194"/>
    <x v="5"/>
    <s v="01 - Titre ordinaire"/>
    <s v="01 - Fonctionnement"/>
    <s v="08/07/2024"/>
    <s v="08/07/2024"/>
    <s v="08/07/2024"/>
    <s v=""/>
    <n v="4330.04"/>
    <n v="866.01"/>
    <n v="5196.05"/>
    <s v="Non"/>
    <s v="Emission"/>
    <s v="Edité"/>
  </r>
  <r>
    <s v="133252"/>
    <s v=""/>
    <s v="2194"/>
    <x v="2"/>
    <s v="01 - Titre ordinaire"/>
    <s v="01 - Fonctionnement"/>
    <s v="08/07/2024"/>
    <s v="08/07/2024"/>
    <s v="08/07/2024"/>
    <s v=""/>
    <n v="2581.86"/>
    <n v="516.37"/>
    <n v="3098.23"/>
    <s v="Non"/>
    <s v="Emission"/>
    <s v="Edité"/>
  </r>
  <r>
    <s v="133740"/>
    <s v=""/>
    <s v="2204"/>
    <x v="4"/>
    <s v="01 - Titre ordinaire"/>
    <s v="01 - Fonctionnement"/>
    <s v="11/07/2024"/>
    <s v="11/07/2024"/>
    <s v="11/07/2024"/>
    <s v=""/>
    <n v="726.93"/>
    <n v="145.38"/>
    <n v="872.31"/>
    <s v="Non"/>
    <s v="Emission"/>
    <s v="Edité"/>
  </r>
  <r>
    <s v="144641"/>
    <s v=""/>
    <s v="2228"/>
    <x v="0"/>
    <s v="01 - Titre ordinaire"/>
    <s v="01 - Fonctionnement"/>
    <s v="22/07/2024"/>
    <s v="22/07/2024"/>
    <s v="22/07/2024"/>
    <s v=""/>
    <n v="442.43"/>
    <n v="88.49"/>
    <n v="530.91999999999996"/>
    <s v="Non"/>
    <s v="Emission"/>
    <s v="Edité"/>
  </r>
  <r>
    <s v="162837"/>
    <s v=""/>
    <s v="2259"/>
    <x v="5"/>
    <s v="01 - Titre ordinaire"/>
    <s v="01 - Fonctionnement"/>
    <s v="26/08/2024"/>
    <s v="26/08/2024"/>
    <s v="26/08/2024"/>
    <s v=""/>
    <n v="4991.3599999999997"/>
    <n v="998.27"/>
    <n v="5989.63"/>
    <s v="Non"/>
    <s v="Emission"/>
    <s v="Edité"/>
  </r>
  <r>
    <s v="162838"/>
    <s v=""/>
    <s v="2259"/>
    <x v="2"/>
    <s v="01 - Titre ordinaire"/>
    <s v="01 - Fonctionnement"/>
    <s v="26/08/2024"/>
    <s v="26/08/2024"/>
    <s v="26/08/2024"/>
    <s v=""/>
    <n v="2443.7600000000002"/>
    <n v="488.75"/>
    <n v="2932.51"/>
    <s v="Non"/>
    <s v="Emission"/>
    <s v="Edité"/>
  </r>
  <r>
    <s v="163387"/>
    <s v=""/>
    <s v="2263"/>
    <x v="0"/>
    <s v="01 - Titre ordinaire"/>
    <s v="01 - Fonctionnement"/>
    <s v="28/08/2024"/>
    <s v="28/08/2024"/>
    <s v="28/08/2024"/>
    <s v=""/>
    <n v="262.42"/>
    <n v="52.48"/>
    <n v="314.89999999999998"/>
    <s v="Non"/>
    <s v="Emission"/>
    <s v="Edité"/>
  </r>
  <r>
    <s v="163388"/>
    <s v=""/>
    <s v="2263"/>
    <x v="4"/>
    <s v="01 - Titre ordinaire"/>
    <s v="01 - Fonctionnement"/>
    <s v="28/08/2024"/>
    <s v="28/08/2024"/>
    <s v="28/08/2024"/>
    <s v=""/>
    <n v="382.43"/>
    <n v="76.48"/>
    <n v="458.91"/>
    <s v="Non"/>
    <s v="Emission"/>
    <s v="Edité"/>
  </r>
  <r>
    <s v="173602"/>
    <s v=""/>
    <s v="2281"/>
    <x v="1"/>
    <s v="01 - Titre ordinaire"/>
    <s v="01 - Fonctionnement"/>
    <s v="13/09/2024"/>
    <s v="13/09/2024"/>
    <s v="13/09/2024"/>
    <s v=""/>
    <n v="11927.38"/>
    <n v="2385.4699999999998"/>
    <n v="14312.85"/>
    <s v="Non"/>
    <s v="Emission"/>
    <s v="Edité"/>
  </r>
  <r>
    <s v="173603"/>
    <s v=""/>
    <s v="2281"/>
    <x v="1"/>
    <s v="01 - Titre ordinaire"/>
    <s v="01 - Fonctionnement"/>
    <s v="13/09/2024"/>
    <s v="13/09/2024"/>
    <s v="13/09/2024"/>
    <s v=""/>
    <n v="16105.88"/>
    <n v="3221.17"/>
    <n v="19327.05"/>
    <s v="Non"/>
    <s v="Emission"/>
    <s v="Edité"/>
  </r>
  <r>
    <s v="173604"/>
    <s v=""/>
    <s v="2281"/>
    <x v="5"/>
    <s v="01 - Titre ordinaire"/>
    <s v="01 - Fonctionnement"/>
    <s v="13/09/2024"/>
    <s v="13/09/2024"/>
    <s v="13/09/2024"/>
    <s v=""/>
    <n v="4731.13"/>
    <n v="946.23"/>
    <n v="5677.36"/>
    <s v="Non"/>
    <s v="Emission"/>
    <s v="Edité"/>
  </r>
  <r>
    <s v="173605"/>
    <s v=""/>
    <s v="2281"/>
    <x v="3"/>
    <s v="01 - Titre ordinaire"/>
    <s v="01 - Fonctionnement"/>
    <s v="13/09/2024"/>
    <s v="13/09/2024"/>
    <s v="13/09/2024"/>
    <s v=""/>
    <n v="9160.52"/>
    <n v="1832.1"/>
    <n v="10992.62"/>
    <s v="Non"/>
    <s v="Emission"/>
    <s v="Edité"/>
  </r>
  <r>
    <s v="173606"/>
    <s v=""/>
    <s v="2281"/>
    <x v="0"/>
    <s v="01 - Titre ordinaire"/>
    <s v="01 - Fonctionnement"/>
    <s v="13/09/2024"/>
    <s v="13/09/2024"/>
    <s v="13/09/2024"/>
    <s v=""/>
    <n v="398.54"/>
    <n v="79.709999999999994"/>
    <n v="478.25"/>
    <s v="Non"/>
    <s v="Emission"/>
    <s v="Edité"/>
  </r>
  <r>
    <s v="173607"/>
    <s v=""/>
    <s v="2281"/>
    <x v="2"/>
    <s v="01 - Titre ordinaire"/>
    <s v="01 - Fonctionnement"/>
    <s v="13/09/2024"/>
    <s v="13/09/2024"/>
    <s v="13/09/2024"/>
    <s v=""/>
    <n v="2377.1999999999998"/>
    <n v="475.44"/>
    <n v="2852.64"/>
    <s v="Non"/>
    <s v="Emission"/>
    <s v="Edité"/>
  </r>
  <r>
    <s v="181417"/>
    <s v=""/>
    <s v="2293"/>
    <x v="1"/>
    <s v="01 - Titre ordinaire"/>
    <s v="01 - Fonctionnement"/>
    <s v="25/09/2024"/>
    <s v="25/09/2024"/>
    <s v="25/09/2024"/>
    <s v=""/>
    <n v="10647.79"/>
    <n v="2129.56"/>
    <n v="12777.35"/>
    <s v="Non"/>
    <s v="Emission"/>
    <s v="Edité"/>
  </r>
  <r>
    <s v="181418"/>
    <s v=""/>
    <s v="2293"/>
    <x v="4"/>
    <s v="01 - Titre ordinaire"/>
    <s v="01 - Fonctionnement"/>
    <s v="25/09/2024"/>
    <s v="25/09/2024"/>
    <s v="25/09/2024"/>
    <s v=""/>
    <n v="415.93"/>
    <n v="83.18"/>
    <n v="499.11"/>
    <s v="Non"/>
    <s v="Emission"/>
    <s v="Edité"/>
  </r>
  <r>
    <s v="192901"/>
    <s v=""/>
    <s v="2328"/>
    <x v="2"/>
    <s v="01 - Titre ordinaire"/>
    <s v="01 - Fonctionnement"/>
    <s v="18/10/2024"/>
    <s v="18/10/2024"/>
    <s v="18/10/2024"/>
    <s v=""/>
    <n v="3849.56"/>
    <n v="769.91"/>
    <n v="4619.47"/>
    <s v="Non"/>
    <s v="Emission"/>
    <s v="Edité"/>
  </r>
  <r>
    <s v="192917"/>
    <s v=""/>
    <s v="2331"/>
    <x v="3"/>
    <s v="01 - Titre ordinaire"/>
    <s v="01 - Fonctionnement"/>
    <s v="22/10/2024"/>
    <s v="22/10/2024"/>
    <s v="22/10/2024"/>
    <s v=""/>
    <n v="11319.57"/>
    <n v="2263.91"/>
    <n v="13583.48"/>
    <s v="Non"/>
    <s v="Emission"/>
    <s v="Edité"/>
  </r>
  <r>
    <s v="192918"/>
    <s v=""/>
    <s v="2331"/>
    <x v="0"/>
    <s v="01 - Titre ordinaire"/>
    <s v="01 - Fonctionnement"/>
    <s v="22/10/2024"/>
    <s v="22/10/2024"/>
    <s v="22/10/2024"/>
    <s v=""/>
    <n v="531.13"/>
    <n v="106.23"/>
    <n v="637.36"/>
    <s v="Non"/>
    <s v="Emission"/>
    <s v="Edité"/>
  </r>
  <r>
    <s v="202738"/>
    <s v=""/>
    <s v="2350"/>
    <x v="2"/>
    <s v="01 - Titre ordinaire"/>
    <s v="01 - Fonctionnement"/>
    <s v="12/11/2024"/>
    <s v="12/11/2024"/>
    <s v="12/11/2024"/>
    <s v=""/>
    <n v="4814.08"/>
    <n v="962.82"/>
    <n v="5776.9"/>
    <s v="Non"/>
    <s v="Emission"/>
    <s v="Edité"/>
  </r>
  <r>
    <s v="215356"/>
    <s v=""/>
    <s v="2363"/>
    <x v="1"/>
    <s v="01 - Titre ordinaire"/>
    <s v="01 - Fonctionnement"/>
    <s v="18/11/2024"/>
    <s v="18/11/2024"/>
    <s v="18/11/2024"/>
    <s v=""/>
    <n v="13228.59"/>
    <n v="2645.72"/>
    <n v="15874.31"/>
    <s v="Non"/>
    <s v="Emission"/>
    <s v="Edité"/>
  </r>
  <r>
    <s v="215357"/>
    <s v=""/>
    <s v="2364"/>
    <x v="1"/>
    <s v="01 - Titre ordinaire"/>
    <s v="01 - Fonctionnement"/>
    <s v="19/11/2024"/>
    <s v="19/11/2024"/>
    <s v="19/11/2024"/>
    <s v=""/>
    <n v="10938"/>
    <n v="2187.6"/>
    <n v="13125.6"/>
    <s v="Non"/>
    <s v="Emission"/>
    <s v="Edité"/>
  </r>
  <r>
    <s v="215358"/>
    <s v=""/>
    <s v="2364"/>
    <x v="0"/>
    <s v="01 - Titre ordinaire"/>
    <s v="01 - Fonctionnement"/>
    <s v="19/11/2024"/>
    <s v="19/11/2024"/>
    <s v="19/11/2024"/>
    <s v=""/>
    <n v="580.12"/>
    <n v="116.02"/>
    <n v="696.14"/>
    <s v="Non"/>
    <s v="Emission"/>
    <s v="Edité"/>
  </r>
  <r>
    <s v="215359"/>
    <s v=""/>
    <s v="2364"/>
    <x v="4"/>
    <s v="01 - Titre ordinaire"/>
    <s v="01 - Fonctionnement"/>
    <s v="19/11/2024"/>
    <s v="19/11/2024"/>
    <s v="19/11/2024"/>
    <s v=""/>
    <n v="453.28"/>
    <n v="90.65"/>
    <n v="543.92999999999995"/>
    <s v="Non"/>
    <s v="Emission"/>
    <s v="Edité"/>
  </r>
  <r>
    <s v="236780"/>
    <s v=""/>
    <s v="2394"/>
    <x v="3"/>
    <s v="01 - Titre ordinaire"/>
    <s v="01 - Fonctionnement"/>
    <s v="10/12/2024"/>
    <s v="10/12/2024"/>
    <s v="10/12/2024"/>
    <s v=""/>
    <n v="9684.7800000000007"/>
    <n v="1936.96"/>
    <n v="11621.74"/>
    <s v="Non"/>
    <s v="Emission"/>
    <s v="Edité"/>
  </r>
  <r>
    <s v="236781"/>
    <s v=""/>
    <s v="2394"/>
    <x v="2"/>
    <s v="01 - Titre ordinaire"/>
    <s v="01 - Fonctionnement"/>
    <s v="10/12/2024"/>
    <s v="10/12/2024"/>
    <s v="10/12/2024"/>
    <s v=""/>
    <n v="4131.9799999999996"/>
    <n v="826.39"/>
    <n v="4958.37"/>
    <s v="Non"/>
    <s v="Emission"/>
    <s v="Edité"/>
  </r>
  <r>
    <s v="236782"/>
    <s v=""/>
    <s v="2394"/>
    <x v="3"/>
    <s v="01 - Titre ordinaire"/>
    <s v="01 - Fonctionnement"/>
    <s v="10/12/2024"/>
    <s v="10/12/2024"/>
    <s v="10/12/2024"/>
    <s v=""/>
    <n v="13027.6"/>
    <n v="2605.52"/>
    <n v="15633.12"/>
    <s v="Non"/>
    <s v="Emission"/>
    <s v="Edité"/>
  </r>
  <r>
    <s v="236803"/>
    <s v=""/>
    <s v="2399"/>
    <x v="1"/>
    <s v="01 - Titre ordinaire"/>
    <s v="01 - Fonctionnement"/>
    <s v="13/12/2024"/>
    <s v="13/12/2024"/>
    <s v="13/12/2024"/>
    <s v=""/>
    <n v="11962.52"/>
    <n v="2392.5"/>
    <n v="14355.02"/>
    <s v="Non"/>
    <s v="Emission"/>
    <s v="Edité"/>
  </r>
  <r>
    <s v="236805"/>
    <s v=""/>
    <s v="2400"/>
    <x v="0"/>
    <s v="01 - Titre ordinaire"/>
    <s v="01 - Fonctionnement"/>
    <s v="17/12/2024"/>
    <s v="17/12/2024"/>
    <s v="17/12/2024"/>
    <s v=""/>
    <n v="420.31"/>
    <n v="84.06"/>
    <n v="504.37"/>
    <s v="Non"/>
    <s v="Emission"/>
    <s v="Edité"/>
  </r>
  <r>
    <s v="257444"/>
    <s v=""/>
    <s v="2434"/>
    <x v="4"/>
    <s v="01 - Titre ordinaire"/>
    <s v="01 - Fonctionnement"/>
    <s v="10/01/2025"/>
    <s v="10/01/2025"/>
    <s v="31/12/2024"/>
    <s v=""/>
    <n v="417.62"/>
    <n v="83.52"/>
    <n v="501.14"/>
    <s v="Non"/>
    <s v="Emission"/>
    <s v="Edité"/>
  </r>
  <r>
    <s v="257445"/>
    <s v=""/>
    <s v="2434"/>
    <x v="0"/>
    <s v="01 - Titre ordinaire"/>
    <s v="01 - Fonctionnement"/>
    <s v="10/01/2025"/>
    <s v="10/01/2025"/>
    <s v="31/12/2024"/>
    <s v=""/>
    <n v="245.08"/>
    <n v="49.01"/>
    <n v="294.08999999999997"/>
    <s v="Non"/>
    <s v="Emission"/>
    <s v="Edité"/>
  </r>
  <r>
    <s v="257446"/>
    <s v=""/>
    <s v="2434"/>
    <x v="4"/>
    <s v="01 - Titre ordinaire"/>
    <s v="01 - Fonctionnement"/>
    <s v="10/01/2025"/>
    <s v="10/01/2025"/>
    <s v="31/12/2024"/>
    <s v=""/>
    <n v="410.09"/>
    <n v="82.02"/>
    <n v="492.11"/>
    <s v="Non"/>
    <s v="Emission"/>
    <s v="Edité"/>
  </r>
  <r>
    <s v="257447"/>
    <s v=""/>
    <s v="2434"/>
    <x v="4"/>
    <s v="01 - Titre ordinaire"/>
    <s v="01 - Fonctionnement"/>
    <s v="10/01/2025"/>
    <s v="10/01/2025"/>
    <s v="31/12/2024"/>
    <s v=""/>
    <n v="412.76"/>
    <n v="82.55"/>
    <n v="495.31"/>
    <s v="Non"/>
    <s v="Emission"/>
    <s v="Edité"/>
  </r>
  <r>
    <s v="258789"/>
    <s v=""/>
    <s v="2441"/>
    <x v="2"/>
    <s v="01 - Titre ordinaire"/>
    <s v="01 - Fonctionnement"/>
    <s v="15/01/2025"/>
    <s v="15/01/2025"/>
    <s v="31/12/2024"/>
    <s v=""/>
    <n v="4463.72"/>
    <n v="892.74"/>
    <n v="5356.46"/>
    <s v="Non"/>
    <s v="Emission"/>
    <s v="Edité"/>
  </r>
  <r>
    <s v="267588"/>
    <s v=""/>
    <s v="2459"/>
    <x v="1"/>
    <s v="01 - Titre ordinaire"/>
    <s v="01 - Fonctionnement"/>
    <s v="23/01/2025"/>
    <s v="23/01/2025"/>
    <s v="31/12/2024"/>
    <s v=""/>
    <n v="13027.58"/>
    <n v="2605.5100000000002"/>
    <n v="15633.09"/>
    <s v="Non"/>
    <s v="Emission"/>
    <s v="Edité"/>
  </r>
  <r>
    <s v="271642"/>
    <s v=""/>
    <s v="2472"/>
    <x v="3"/>
    <s v="01 - Titre ordinaire"/>
    <s v="01 - Fonctionnement"/>
    <s v="27/01/2025"/>
    <s v="27/01/2025"/>
    <s v="31/12/2024"/>
    <s v=""/>
    <n v="15375.25"/>
    <n v="3075.05"/>
    <n v="18450.3"/>
    <s v="Non"/>
    <s v="Emission"/>
    <s v="Edité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12C50164-FCFE-47D8-A554-9A7D4CE0DE0E}" name="Tableau croisé dynamique1" cacheId="0" dataOnRows="1" applyNumberFormats="0" applyBorderFormats="0" applyFontFormats="0" applyPatternFormats="0" applyAlignmentFormats="0" applyWidthHeightFormats="1" dataCaption="Données" updatedVersion="6" showMemberPropertyTips="0" useAutoFormatting="1" itemPrintTitles="1" createdVersion="1" indent="0" compact="0" compactData="0" gridDropZones="1">
  <location ref="P1:Q9" firstHeaderRow="2" firstDataRow="2" firstDataCol="1"/>
  <pivotFields count="14">
    <pivotField compact="0" outline="0" showAll="0" includeNewItemsInFilter="1"/>
    <pivotField compact="0" outline="0" showAll="0" includeNewItemsInFilter="1"/>
    <pivotField compact="0" outline="0" showAll="0" includeNewItemsInFilter="1"/>
    <pivotField axis="axisRow" compact="0" outline="0" showAll="0" includeNewItemsInFilter="1">
      <items count="7">
        <item x="0"/>
        <item x="1"/>
        <item x="2"/>
        <item x="3"/>
        <item x="4"/>
        <item x="5"/>
        <item t="default"/>
      </items>
    </pivotField>
    <pivotField dataField="1" compact="0" outline="0" showAll="0" includeNewItemsInFilter="1"/>
    <pivotField compact="0" outline="0" showAll="0" includeNewItemsInFilter="1"/>
    <pivotField compact="0" outline="0" showAll="0" includeNewItemsInFilter="1"/>
    <pivotField compact="0" outline="0" showAll="0" includeNewItemsInFilter="1"/>
    <pivotField compact="0" outline="0" showAll="0" includeNewItemsInFilter="1"/>
    <pivotField compact="0" outline="0" showAll="0" includeNewItemsInFilter="1"/>
    <pivotField compact="0" outline="0" showAll="0" includeNewItemsInFilter="1"/>
    <pivotField compact="0" outline="0" showAll="0" includeNewItemsInFilter="1"/>
    <pivotField compact="0" outline="0" showAll="0" includeNewItemsInFilter="1"/>
    <pivotField compact="0" outline="0" showAll="0" includeNewItemsInFilter="1"/>
  </pivotFields>
  <rowFields count="1">
    <field x="3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Items count="1">
    <i/>
  </colItems>
  <dataFields count="1">
    <dataField name="Somme de Montant TTC" fld="4" baseField="0" baseItem="0"/>
  </dataFields>
  <formats count="1">
    <format dxfId="1">
      <pivotArea outline="0" fieldPosition="0">
        <references count="1">
          <reference field="3" count="3" selected="0">
            <x v="0"/>
            <x v="1"/>
            <x v="2"/>
          </reference>
        </references>
      </pivotArea>
    </format>
  </formats>
  <pivotTableStyleInfo showRowHeaders="1" showColHeaders="1" showRowStripes="0" showColStripes="0" showLastColumn="1"/>
  <extLs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D4CCAFCB-7199-408F-A9E8-9FF8938769E1}" name="Tableau croisé dynamique2" cacheId="1" dataOnRows="1" applyNumberFormats="0" applyBorderFormats="0" applyFontFormats="0" applyPatternFormats="0" applyAlignmentFormats="0" applyWidthHeightFormats="1" dataCaption="Données" updatedVersion="6" showMemberPropertyTips="0" useAutoFormatting="1" itemPrintTitles="1" createdVersion="1" indent="0" compact="0" compactData="0" gridDropZones="1">
  <location ref="R1:S9" firstHeaderRow="2" firstDataRow="2" firstDataCol="1"/>
  <pivotFields count="16">
    <pivotField compact="0" outline="0" showAll="0" includeNewItemsInFilter="1"/>
    <pivotField compact="0" outline="0" showAll="0" includeNewItemsInFilter="1"/>
    <pivotField compact="0" outline="0" showAll="0" includeNewItemsInFilter="1"/>
    <pivotField axis="axisRow" compact="0" outline="0" showAll="0" includeNewItemsInFilter="1">
      <items count="7">
        <item x="0"/>
        <item x="4"/>
        <item x="1"/>
        <item x="3"/>
        <item x="5"/>
        <item x="2"/>
        <item t="default"/>
      </items>
    </pivotField>
    <pivotField compact="0" outline="0" showAll="0" includeNewItemsInFilter="1"/>
    <pivotField compact="0" outline="0" showAll="0" includeNewItemsInFilter="1"/>
    <pivotField compact="0" outline="0" showAll="0" includeNewItemsInFilter="1"/>
    <pivotField compact="0" outline="0" showAll="0" includeNewItemsInFilter="1"/>
    <pivotField compact="0" outline="0" showAll="0" includeNewItemsInFilter="1"/>
    <pivotField compact="0" outline="0" showAll="0" includeNewItemsInFilter="1"/>
    <pivotField compact="0" outline="0" showAll="0" includeNewItemsInFilter="1"/>
    <pivotField compact="0" outline="0" showAll="0" includeNewItemsInFilter="1"/>
    <pivotField dataField="1" compact="0" outline="0" showAll="0" includeNewItemsInFilter="1"/>
    <pivotField compact="0" outline="0" showAll="0" includeNewItemsInFilter="1"/>
    <pivotField compact="0" outline="0" showAll="0" includeNewItemsInFilter="1"/>
    <pivotField compact="0" outline="0" showAll="0" includeNewItemsInFilter="1"/>
  </pivotFields>
  <rowFields count="1">
    <field x="3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Items count="1">
    <i/>
  </colItems>
  <dataFields count="1">
    <dataField name="Somme de Montant TTC" fld="12" baseField="0" baseItem="0"/>
  </dataFields>
  <formats count="1">
    <format dxfId="0">
      <pivotArea outline="0" fieldPosition="0">
        <references count="1">
          <reference field="3" count="3" selected="0">
            <x v="1"/>
            <x v="2"/>
            <x v="3"/>
          </reference>
        </references>
      </pivotArea>
    </format>
  </formats>
  <pivotTableStyleInfo showRowHeaders="1" showColHeaders="1" showRowStripes="0" showColStripes="0" showLastColumn="1"/>
  <extLs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6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comments" Target="../comments4.xml"/><Relationship Id="rId1" Type="http://schemas.openxmlformats.org/officeDocument/2006/relationships/vmlDrawing" Target="../drawings/vmlDrawing4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89454A-1223-411A-A7C0-9E3FED3B015F}">
  <sheetPr>
    <tabColor rgb="FF92D050"/>
  </sheetPr>
  <dimension ref="H29"/>
  <sheetViews>
    <sheetView workbookViewId="0">
      <selection activeCell="C32" sqref="C32"/>
    </sheetView>
  </sheetViews>
  <sheetFormatPr baseColWidth="10" defaultRowHeight="15"/>
  <sheetData>
    <row r="29" spans="8:8">
      <c r="H29" s="1"/>
    </row>
  </sheetData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AFF30F-9AE2-49A3-AE16-14A9103D4C99}">
  <dimension ref="A3:E21"/>
  <sheetViews>
    <sheetView workbookViewId="0">
      <selection activeCell="D20" sqref="D20"/>
    </sheetView>
  </sheetViews>
  <sheetFormatPr baseColWidth="10" defaultRowHeight="15"/>
  <cols>
    <col min="1" max="1" width="66.85546875" bestFit="1" customWidth="1"/>
    <col min="2" max="2" width="15.42578125" bestFit="1" customWidth="1"/>
    <col min="3" max="3" width="14.28515625" bestFit="1" customWidth="1"/>
    <col min="4" max="4" width="14" bestFit="1" customWidth="1"/>
    <col min="5" max="5" width="12.7109375" bestFit="1" customWidth="1"/>
  </cols>
  <sheetData>
    <row r="3" spans="1:5">
      <c r="A3" s="128" t="s">
        <v>87</v>
      </c>
      <c r="B3" s="129" t="s">
        <v>0</v>
      </c>
      <c r="C3" s="129" t="s">
        <v>55</v>
      </c>
      <c r="D3" s="130" t="s">
        <v>451</v>
      </c>
      <c r="E3" s="131" t="s">
        <v>86</v>
      </c>
    </row>
    <row r="4" spans="1:5">
      <c r="A4" s="124" t="s">
        <v>84</v>
      </c>
      <c r="B4" s="125">
        <v>1428796.79</v>
      </c>
      <c r="C4" s="125">
        <v>1419312.79</v>
      </c>
      <c r="D4" s="125">
        <v>1625648.65</v>
      </c>
      <c r="E4" s="126"/>
    </row>
    <row r="5" spans="1:5">
      <c r="A5" s="115" t="s">
        <v>452</v>
      </c>
      <c r="B5" s="21">
        <v>415728.51</v>
      </c>
      <c r="C5" s="21">
        <v>137722.92000000001</v>
      </c>
      <c r="D5" s="21">
        <v>118511.59</v>
      </c>
      <c r="E5" s="94"/>
    </row>
    <row r="6" spans="1:5">
      <c r="A6" s="135" t="s">
        <v>453</v>
      </c>
      <c r="B6" s="136">
        <v>78278.52</v>
      </c>
      <c r="C6" s="136">
        <v>460674.18</v>
      </c>
      <c r="D6" s="136">
        <v>442229.47</v>
      </c>
      <c r="E6" s="137"/>
    </row>
    <row r="7" spans="1:5" s="1" customFormat="1">
      <c r="A7" s="142" t="s">
        <v>121</v>
      </c>
      <c r="B7" s="139">
        <f>SUM(B4:B6)</f>
        <v>1922803.82</v>
      </c>
      <c r="C7" s="139">
        <f>SUM(C4:C6)</f>
        <v>2017709.89</v>
      </c>
      <c r="D7" s="140">
        <f>SUM(D4:D6)</f>
        <v>2186389.71</v>
      </c>
      <c r="E7" s="140"/>
    </row>
    <row r="11" spans="1:5" ht="14.25" customHeight="1"/>
    <row r="12" spans="1:5">
      <c r="A12" s="128" t="s">
        <v>115</v>
      </c>
      <c r="B12" s="129" t="s">
        <v>0</v>
      </c>
      <c r="C12" s="129" t="s">
        <v>55</v>
      </c>
      <c r="D12" s="130" t="s">
        <v>451</v>
      </c>
      <c r="E12" s="131" t="s">
        <v>86</v>
      </c>
    </row>
    <row r="13" spans="1:5">
      <c r="A13" s="124" t="s">
        <v>454</v>
      </c>
      <c r="B13" s="125">
        <v>1351141.68</v>
      </c>
      <c r="C13" s="125">
        <v>1773</v>
      </c>
      <c r="D13" s="125">
        <v>2000</v>
      </c>
      <c r="E13" s="126"/>
    </row>
    <row r="14" spans="1:5">
      <c r="A14" s="115" t="s">
        <v>455</v>
      </c>
      <c r="B14" s="21">
        <v>119599.93</v>
      </c>
      <c r="C14" s="21">
        <v>1950197.43</v>
      </c>
      <c r="D14" s="21">
        <v>2123840</v>
      </c>
      <c r="E14" s="94"/>
    </row>
    <row r="15" spans="1:5">
      <c r="A15" s="135" t="s">
        <v>456</v>
      </c>
      <c r="B15" s="136">
        <v>468247.63</v>
      </c>
      <c r="C15" s="136">
        <v>65378.21</v>
      </c>
      <c r="D15" s="136">
        <v>60549.3</v>
      </c>
      <c r="E15" s="137"/>
    </row>
    <row r="16" spans="1:5" s="1" customFormat="1">
      <c r="A16" s="142" t="s">
        <v>121</v>
      </c>
      <c r="B16" s="139">
        <f>SUM(B13:B15)</f>
        <v>1938989.2399999998</v>
      </c>
      <c r="C16" s="139">
        <f>SUM(C13:C15)</f>
        <v>2017348.64</v>
      </c>
      <c r="D16" s="140">
        <f>SUM(D13:D15)</f>
        <v>2186389.2999999998</v>
      </c>
      <c r="E16" s="140"/>
    </row>
    <row r="20" spans="1:5">
      <c r="A20" s="118"/>
      <c r="B20" s="123">
        <v>2023</v>
      </c>
      <c r="C20" s="119" t="s">
        <v>55</v>
      </c>
      <c r="D20" s="130" t="s">
        <v>451</v>
      </c>
      <c r="E20" s="120" t="s">
        <v>86</v>
      </c>
    </row>
    <row r="21" spans="1:5">
      <c r="A21" s="142" t="s">
        <v>117</v>
      </c>
      <c r="B21" s="139">
        <f>B16-B7</f>
        <v>16185.419999999693</v>
      </c>
      <c r="C21" s="139">
        <f>C16-C7</f>
        <v>-361.25</v>
      </c>
      <c r="D21" s="140">
        <f>D16-D7</f>
        <v>-0.41000000014901161</v>
      </c>
      <c r="E21" s="140">
        <f>E16-E7</f>
        <v>0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1C77BA-A97C-47F2-BE39-53ACEC7C6B87}">
  <dimension ref="A3:E21"/>
  <sheetViews>
    <sheetView workbookViewId="0">
      <selection activeCell="F30" sqref="F30"/>
    </sheetView>
  </sheetViews>
  <sheetFormatPr baseColWidth="10" defaultRowHeight="15"/>
  <cols>
    <col min="1" max="1" width="66.85546875" bestFit="1" customWidth="1"/>
    <col min="2" max="2" width="15.42578125" bestFit="1" customWidth="1"/>
    <col min="3" max="3" width="14.28515625" bestFit="1" customWidth="1"/>
    <col min="4" max="4" width="14" bestFit="1" customWidth="1"/>
    <col min="5" max="5" width="12.7109375" bestFit="1" customWidth="1"/>
  </cols>
  <sheetData>
    <row r="3" spans="1:5">
      <c r="A3" s="128" t="s">
        <v>87</v>
      </c>
      <c r="B3" s="129" t="s">
        <v>0</v>
      </c>
      <c r="C3" s="129" t="s">
        <v>55</v>
      </c>
      <c r="D3" s="130" t="s">
        <v>451</v>
      </c>
      <c r="E3" s="131" t="s">
        <v>86</v>
      </c>
    </row>
    <row r="4" spans="1:5">
      <c r="A4" s="124" t="s">
        <v>84</v>
      </c>
      <c r="B4" s="125"/>
      <c r="C4" s="125"/>
      <c r="D4" s="125"/>
      <c r="E4" s="126"/>
    </row>
    <row r="5" spans="1:5">
      <c r="A5" s="115" t="s">
        <v>452</v>
      </c>
      <c r="B5" s="21"/>
      <c r="C5" s="21">
        <v>4245.53</v>
      </c>
      <c r="D5" s="21"/>
      <c r="E5" s="94"/>
    </row>
    <row r="6" spans="1:5">
      <c r="A6" s="135" t="s">
        <v>453</v>
      </c>
      <c r="B6" s="136">
        <v>266169.55</v>
      </c>
      <c r="C6" s="136">
        <v>199206.51</v>
      </c>
      <c r="D6" s="136">
        <v>280000</v>
      </c>
      <c r="E6" s="137"/>
    </row>
    <row r="7" spans="1:5" s="1" customFormat="1">
      <c r="A7" s="142" t="s">
        <v>121</v>
      </c>
      <c r="B7" s="139">
        <f>SUM(B4:B6)</f>
        <v>266169.55</v>
      </c>
      <c r="C7" s="139">
        <f>SUM(C4:C6)</f>
        <v>203452.04</v>
      </c>
      <c r="D7" s="140">
        <f>SUM(D4:D6)</f>
        <v>280000</v>
      </c>
      <c r="E7" s="140"/>
    </row>
    <row r="12" spans="1:5">
      <c r="A12" s="128" t="s">
        <v>115</v>
      </c>
      <c r="B12" s="129" t="s">
        <v>0</v>
      </c>
      <c r="C12" s="129" t="s">
        <v>55</v>
      </c>
      <c r="D12" s="130" t="s">
        <v>451</v>
      </c>
      <c r="E12" s="131" t="s">
        <v>86</v>
      </c>
    </row>
    <row r="13" spans="1:5">
      <c r="A13" s="124" t="s">
        <v>454</v>
      </c>
      <c r="B13" s="125"/>
      <c r="C13" s="125"/>
      <c r="D13" s="125"/>
      <c r="E13" s="126"/>
    </row>
    <row r="14" spans="1:5">
      <c r="A14" s="115" t="s">
        <v>455</v>
      </c>
      <c r="B14" s="21">
        <v>266169.55</v>
      </c>
      <c r="C14" s="21">
        <v>203452.04</v>
      </c>
      <c r="D14" s="21">
        <v>280000</v>
      </c>
      <c r="E14" s="94"/>
    </row>
    <row r="15" spans="1:5">
      <c r="A15" s="135" t="s">
        <v>456</v>
      </c>
      <c r="B15" s="136"/>
      <c r="C15" s="136"/>
      <c r="D15" s="136"/>
      <c r="E15" s="137"/>
    </row>
    <row r="16" spans="1:5" s="1" customFormat="1">
      <c r="A16" s="142" t="s">
        <v>121</v>
      </c>
      <c r="B16" s="139">
        <f>SUM(B13:B15)</f>
        <v>266169.55</v>
      </c>
      <c r="C16" s="139">
        <f>SUM(C13:C15)</f>
        <v>203452.04</v>
      </c>
      <c r="D16" s="140">
        <f>SUM(D13:D15)</f>
        <v>280000</v>
      </c>
      <c r="E16" s="140"/>
    </row>
    <row r="20" spans="1:5">
      <c r="A20" s="118"/>
      <c r="B20" s="123">
        <v>2023</v>
      </c>
      <c r="C20" s="119" t="s">
        <v>55</v>
      </c>
      <c r="D20" s="130" t="s">
        <v>451</v>
      </c>
      <c r="E20" s="120" t="s">
        <v>86</v>
      </c>
    </row>
    <row r="21" spans="1:5">
      <c r="A21" s="142" t="s">
        <v>117</v>
      </c>
      <c r="B21" s="139">
        <f>B16-B7</f>
        <v>0</v>
      </c>
      <c r="C21" s="139">
        <f>C16-C7</f>
        <v>0</v>
      </c>
      <c r="D21" s="140">
        <f>D16-D7</f>
        <v>0</v>
      </c>
      <c r="E21" s="140">
        <f>E16-E7</f>
        <v>0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0571A1-3815-4D83-BA8E-5C3D6D44E584}">
  <dimension ref="A3:E21"/>
  <sheetViews>
    <sheetView workbookViewId="0">
      <selection activeCell="G27" sqref="G27"/>
    </sheetView>
  </sheetViews>
  <sheetFormatPr baseColWidth="10" defaultRowHeight="15"/>
  <cols>
    <col min="1" max="1" width="66.85546875" bestFit="1" customWidth="1"/>
    <col min="2" max="2" width="15.42578125" bestFit="1" customWidth="1"/>
    <col min="3" max="3" width="14.28515625" bestFit="1" customWidth="1"/>
    <col min="4" max="4" width="14" bestFit="1" customWidth="1"/>
    <col min="5" max="5" width="12.7109375" bestFit="1" customWidth="1"/>
  </cols>
  <sheetData>
    <row r="3" spans="1:5">
      <c r="A3" s="128" t="s">
        <v>87</v>
      </c>
      <c r="B3" s="129" t="s">
        <v>0</v>
      </c>
      <c r="C3" s="129" t="s">
        <v>55</v>
      </c>
      <c r="D3" s="130" t="s">
        <v>451</v>
      </c>
      <c r="E3" s="131" t="s">
        <v>86</v>
      </c>
    </row>
    <row r="4" spans="1:5">
      <c r="A4" s="124" t="s">
        <v>84</v>
      </c>
      <c r="B4" s="125"/>
      <c r="C4" s="125"/>
      <c r="D4" s="125"/>
      <c r="E4" s="126"/>
    </row>
    <row r="5" spans="1:5">
      <c r="A5" s="115" t="s">
        <v>452</v>
      </c>
      <c r="B5" s="21"/>
      <c r="C5" s="21"/>
      <c r="D5" s="21"/>
      <c r="E5" s="94"/>
    </row>
    <row r="6" spans="1:5">
      <c r="A6" s="135" t="s">
        <v>453</v>
      </c>
      <c r="B6" s="136">
        <v>7596.96</v>
      </c>
      <c r="C6" s="136">
        <v>8289.7800000000007</v>
      </c>
      <c r="D6" s="136">
        <v>9000</v>
      </c>
      <c r="E6" s="137"/>
    </row>
    <row r="7" spans="1:5" s="1" customFormat="1">
      <c r="A7" s="142" t="s">
        <v>121</v>
      </c>
      <c r="B7" s="139">
        <f>SUM(B4:B6)</f>
        <v>7596.96</v>
      </c>
      <c r="C7" s="139">
        <f>SUM(C4:C6)</f>
        <v>8289.7800000000007</v>
      </c>
      <c r="D7" s="140">
        <f>SUM(D4:D6)</f>
        <v>9000</v>
      </c>
      <c r="E7" s="140"/>
    </row>
    <row r="12" spans="1:5">
      <c r="A12" s="128" t="s">
        <v>115</v>
      </c>
      <c r="B12" s="129" t="s">
        <v>0</v>
      </c>
      <c r="C12" s="129" t="s">
        <v>55</v>
      </c>
      <c r="D12" s="130" t="s">
        <v>451</v>
      </c>
      <c r="E12" s="131" t="s">
        <v>86</v>
      </c>
    </row>
    <row r="13" spans="1:5">
      <c r="A13" s="124" t="s">
        <v>454</v>
      </c>
      <c r="B13" s="125"/>
      <c r="C13" s="125"/>
      <c r="D13" s="125"/>
      <c r="E13" s="126"/>
    </row>
    <row r="14" spans="1:5">
      <c r="A14" s="115" t="s">
        <v>455</v>
      </c>
      <c r="B14" s="21">
        <v>23582.51</v>
      </c>
      <c r="C14" s="21">
        <v>19000</v>
      </c>
      <c r="D14" s="21">
        <v>25000</v>
      </c>
      <c r="E14" s="94"/>
    </row>
    <row r="15" spans="1:5">
      <c r="A15" s="135" t="s">
        <v>456</v>
      </c>
      <c r="B15" s="136"/>
      <c r="C15" s="136"/>
      <c r="D15" s="136"/>
      <c r="E15" s="137"/>
    </row>
    <row r="16" spans="1:5" s="1" customFormat="1">
      <c r="A16" s="142" t="s">
        <v>121</v>
      </c>
      <c r="B16" s="139">
        <f>SUM(B13:B15)</f>
        <v>23582.51</v>
      </c>
      <c r="C16" s="139">
        <f>SUM(C13:C15)</f>
        <v>19000</v>
      </c>
      <c r="D16" s="140">
        <f>SUM(D13:D15)</f>
        <v>25000</v>
      </c>
      <c r="E16" s="140"/>
    </row>
    <row r="20" spans="1:5">
      <c r="A20" s="118"/>
      <c r="B20" s="123">
        <v>2023</v>
      </c>
      <c r="C20" s="119" t="s">
        <v>55</v>
      </c>
      <c r="D20" s="130" t="s">
        <v>451</v>
      </c>
      <c r="E20" s="120" t="s">
        <v>86</v>
      </c>
    </row>
    <row r="21" spans="1:5">
      <c r="A21" s="142" t="s">
        <v>117</v>
      </c>
      <c r="B21" s="139">
        <f>B16-B7</f>
        <v>15985.55</v>
      </c>
      <c r="C21" s="139">
        <f>C16-C7</f>
        <v>10710.22</v>
      </c>
      <c r="D21" s="140">
        <f>D16-D7</f>
        <v>16000</v>
      </c>
      <c r="E21" s="140">
        <f>E16-E7</f>
        <v>0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A3C938-D39E-4ADE-B987-7B75E72107D1}">
  <dimension ref="B1:P111"/>
  <sheetViews>
    <sheetView showGridLines="0" topLeftCell="A82" workbookViewId="0">
      <selection activeCell="D108" sqref="D108"/>
    </sheetView>
  </sheetViews>
  <sheetFormatPr baseColWidth="10" defaultRowHeight="15"/>
  <cols>
    <col min="1" max="1" width="11.42578125" style="37"/>
    <col min="2" max="2" width="37.7109375" style="37" customWidth="1"/>
    <col min="3" max="6" width="14.28515625" style="37" bestFit="1" customWidth="1"/>
    <col min="7" max="7" width="37.7109375" style="37" customWidth="1"/>
    <col min="8" max="10" width="11.42578125" style="37"/>
    <col min="11" max="11" width="37.7109375" style="37" customWidth="1"/>
    <col min="12" max="15" width="14.28515625" style="37" bestFit="1" customWidth="1"/>
    <col min="16" max="16" width="37.7109375" style="37" customWidth="1"/>
    <col min="17" max="16384" width="11.42578125" style="37"/>
  </cols>
  <sheetData>
    <row r="1" spans="2:16">
      <c r="B1" s="37" t="s">
        <v>1124</v>
      </c>
      <c r="K1" s="37" t="s">
        <v>1124</v>
      </c>
    </row>
    <row r="3" spans="2:16" ht="21" customHeight="1">
      <c r="C3" s="411" t="s">
        <v>1125</v>
      </c>
      <c r="D3" s="412"/>
      <c r="E3" s="411" t="s">
        <v>1126</v>
      </c>
      <c r="F3" s="412"/>
      <c r="L3" s="411" t="s">
        <v>1125</v>
      </c>
      <c r="M3" s="412"/>
      <c r="N3" s="411" t="s">
        <v>1126</v>
      </c>
      <c r="O3" s="412"/>
    </row>
    <row r="4" spans="2:16" ht="21" customHeight="1">
      <c r="C4" s="278" t="s">
        <v>0</v>
      </c>
      <c r="D4" s="278" t="s">
        <v>1127</v>
      </c>
      <c r="E4" s="278" t="s">
        <v>0</v>
      </c>
      <c r="F4" s="278" t="s">
        <v>1127</v>
      </c>
      <c r="L4" s="278" t="s">
        <v>0</v>
      </c>
      <c r="M4" s="278" t="s">
        <v>1127</v>
      </c>
      <c r="N4" s="278" t="s">
        <v>0</v>
      </c>
      <c r="O4" s="278" t="s">
        <v>1127</v>
      </c>
    </row>
    <row r="5" spans="2:16" ht="24" customHeight="1">
      <c r="B5" s="279" t="s">
        <v>1128</v>
      </c>
      <c r="C5" s="280">
        <v>8524803.8000000007</v>
      </c>
      <c r="D5" s="280">
        <v>8386761.6200000001</v>
      </c>
      <c r="E5" s="280">
        <v>12324866.67</v>
      </c>
      <c r="F5" s="280">
        <v>12428608.359999999</v>
      </c>
      <c r="G5" s="281" t="s">
        <v>1129</v>
      </c>
      <c r="K5" s="279" t="s">
        <v>1128</v>
      </c>
      <c r="L5" s="280">
        <v>8386761.6200000001</v>
      </c>
      <c r="M5" s="280">
        <v>8977099.9199999999</v>
      </c>
      <c r="N5" s="280">
        <v>12428608.359999999</v>
      </c>
      <c r="O5" s="280">
        <v>13770301.640000001</v>
      </c>
      <c r="P5" s="281" t="s">
        <v>1129</v>
      </c>
    </row>
    <row r="6" spans="2:16">
      <c r="B6" s="282" t="s">
        <v>1130</v>
      </c>
      <c r="C6" s="283"/>
      <c r="D6" s="284">
        <f>+D5-C5</f>
        <v>-138042.18000000063</v>
      </c>
      <c r="E6" s="283"/>
      <c r="F6" s="284">
        <f>+F5-E5</f>
        <v>103741.68999999948</v>
      </c>
      <c r="G6" s="285" t="s">
        <v>1130</v>
      </c>
      <c r="K6" s="282" t="s">
        <v>1130</v>
      </c>
      <c r="L6" s="283"/>
      <c r="M6" s="284">
        <f>+M5-L5</f>
        <v>590338.29999999981</v>
      </c>
      <c r="N6" s="283"/>
      <c r="O6" s="284">
        <f>+O5-N5</f>
        <v>1341693.2800000012</v>
      </c>
      <c r="P6" s="285" t="s">
        <v>1130</v>
      </c>
    </row>
    <row r="7" spans="2:16">
      <c r="B7" s="286" t="s">
        <v>1131</v>
      </c>
      <c r="C7" s="167"/>
      <c r="D7" s="287">
        <f>+D6/C5</f>
        <v>-1.6193003761564649E-2</v>
      </c>
      <c r="E7" s="167"/>
      <c r="F7" s="287">
        <f>+F6/E5</f>
        <v>8.4172667159570554E-3</v>
      </c>
      <c r="G7" s="288" t="s">
        <v>1131</v>
      </c>
      <c r="K7" s="286" t="s">
        <v>1131</v>
      </c>
      <c r="L7" s="167"/>
      <c r="M7" s="287">
        <f>+M6/L5</f>
        <v>7.0389302420640371E-2</v>
      </c>
      <c r="N7" s="167"/>
      <c r="O7" s="287">
        <f>+O6/N5</f>
        <v>0.1079520120947798</v>
      </c>
      <c r="P7" s="288" t="s">
        <v>1131</v>
      </c>
    </row>
    <row r="8" spans="2:16" ht="30">
      <c r="B8" s="279" t="s">
        <v>1132</v>
      </c>
      <c r="C8" s="280">
        <v>904320.81</v>
      </c>
      <c r="D8" s="280">
        <v>836583.36</v>
      </c>
      <c r="E8" s="280">
        <v>20704.349999999999</v>
      </c>
      <c r="F8" s="280">
        <v>20297.52</v>
      </c>
      <c r="G8" s="281" t="s">
        <v>1133</v>
      </c>
      <c r="K8" s="279" t="s">
        <v>1132</v>
      </c>
      <c r="L8" s="280">
        <v>836583.36</v>
      </c>
      <c r="M8" s="280">
        <v>992454.59</v>
      </c>
      <c r="N8" s="280">
        <v>20297.52</v>
      </c>
      <c r="O8" s="280">
        <v>62500</v>
      </c>
      <c r="P8" s="281" t="s">
        <v>1133</v>
      </c>
    </row>
    <row r="9" spans="2:16">
      <c r="B9" s="282" t="s">
        <v>1130</v>
      </c>
      <c r="C9" s="283"/>
      <c r="D9" s="284">
        <f>+D8-C8</f>
        <v>-67737.45000000007</v>
      </c>
      <c r="E9" s="283"/>
      <c r="F9" s="284">
        <f>+F8-E8</f>
        <v>-406.82999999999811</v>
      </c>
      <c r="G9" s="285" t="s">
        <v>1130</v>
      </c>
      <c r="K9" s="282" t="s">
        <v>1130</v>
      </c>
      <c r="L9" s="283"/>
      <c r="M9" s="284">
        <f>+M8-L8</f>
        <v>155871.22999999998</v>
      </c>
      <c r="N9" s="283"/>
      <c r="O9" s="284">
        <f>+O8-N8</f>
        <v>42202.479999999996</v>
      </c>
      <c r="P9" s="285" t="s">
        <v>1130</v>
      </c>
    </row>
    <row r="10" spans="2:16">
      <c r="B10" s="286" t="s">
        <v>1131</v>
      </c>
      <c r="C10" s="167"/>
      <c r="D10" s="287">
        <f>+D9/C8</f>
        <v>-7.4904225636475252E-2</v>
      </c>
      <c r="E10" s="167"/>
      <c r="F10" s="287">
        <f>+F9/E8</f>
        <v>-1.9649493946924106E-2</v>
      </c>
      <c r="G10" s="288" t="s">
        <v>1131</v>
      </c>
      <c r="K10" s="286" t="s">
        <v>1131</v>
      </c>
      <c r="L10" s="167"/>
      <c r="M10" s="287">
        <f>+M9/L8</f>
        <v>0.18631882661400292</v>
      </c>
      <c r="N10" s="167"/>
      <c r="O10" s="287">
        <f>+O9/N8</f>
        <v>2.0791939113743942</v>
      </c>
      <c r="P10" s="288" t="s">
        <v>1131</v>
      </c>
    </row>
    <row r="11" spans="2:16" ht="24.75" customHeight="1">
      <c r="B11" s="279" t="s">
        <v>1134</v>
      </c>
      <c r="C11" s="280">
        <v>3277460.14</v>
      </c>
      <c r="D11" s="280">
        <v>3306119.13</v>
      </c>
      <c r="E11" s="280">
        <v>251818.35</v>
      </c>
      <c r="F11" s="280">
        <v>73487</v>
      </c>
      <c r="G11" s="281" t="s">
        <v>1135</v>
      </c>
      <c r="K11" s="279" t="s">
        <v>1134</v>
      </c>
      <c r="L11" s="280">
        <v>3306119.13</v>
      </c>
      <c r="M11" s="280">
        <v>3741713.16</v>
      </c>
      <c r="N11" s="280">
        <v>73487</v>
      </c>
      <c r="O11" s="280">
        <v>60233.35</v>
      </c>
      <c r="P11" s="281" t="s">
        <v>1135</v>
      </c>
    </row>
    <row r="12" spans="2:16">
      <c r="B12" s="282" t="s">
        <v>1130</v>
      </c>
      <c r="C12" s="283"/>
      <c r="D12" s="284">
        <f>+D11-C11</f>
        <v>28658.989999999758</v>
      </c>
      <c r="E12" s="283"/>
      <c r="F12" s="284">
        <f>+F11-E11</f>
        <v>-178331.35</v>
      </c>
      <c r="G12" s="285" t="s">
        <v>1130</v>
      </c>
      <c r="K12" s="282" t="s">
        <v>1130</v>
      </c>
      <c r="L12" s="283"/>
      <c r="M12" s="284">
        <f>+M11-L11</f>
        <v>435594.03000000026</v>
      </c>
      <c r="N12" s="283"/>
      <c r="O12" s="284">
        <f>+O11-N11</f>
        <v>-13253.650000000001</v>
      </c>
      <c r="P12" s="285" t="s">
        <v>1130</v>
      </c>
    </row>
    <row r="13" spans="2:16">
      <c r="B13" s="286" t="s">
        <v>1131</v>
      </c>
      <c r="C13" s="167"/>
      <c r="D13" s="287">
        <f>+D12/C11</f>
        <v>8.7442680538594615E-3</v>
      </c>
      <c r="E13" s="167"/>
      <c r="F13" s="287">
        <f>+F12/E11</f>
        <v>-0.70817456313251204</v>
      </c>
      <c r="G13" s="288" t="s">
        <v>1131</v>
      </c>
      <c r="K13" s="286" t="s">
        <v>1131</v>
      </c>
      <c r="L13" s="167"/>
      <c r="M13" s="287">
        <f>+M12/L11</f>
        <v>0.13175388208107319</v>
      </c>
      <c r="N13" s="167"/>
      <c r="O13" s="287">
        <f>+O12/N11</f>
        <v>-0.18035366799569993</v>
      </c>
      <c r="P13" s="288" t="s">
        <v>1131</v>
      </c>
    </row>
    <row r="14" spans="2:16" s="246" customFormat="1" ht="21" customHeight="1">
      <c r="B14" s="289" t="s">
        <v>1136</v>
      </c>
      <c r="C14" s="290">
        <f>+C11+C8+C5</f>
        <v>12706584.75</v>
      </c>
      <c r="D14" s="290">
        <f t="shared" ref="D14:F14" si="0">+D11+D8+D5</f>
        <v>12529464.109999999</v>
      </c>
      <c r="E14" s="290">
        <f t="shared" si="0"/>
        <v>12597389.369999999</v>
      </c>
      <c r="F14" s="290">
        <f t="shared" si="0"/>
        <v>12522392.879999999</v>
      </c>
      <c r="G14" s="291" t="s">
        <v>1137</v>
      </c>
      <c r="K14" s="289" t="s">
        <v>1136</v>
      </c>
      <c r="L14" s="290">
        <f>+L11+L8+L5</f>
        <v>12529464.109999999</v>
      </c>
      <c r="M14" s="290">
        <f>+M11+M8+M5</f>
        <v>13711267.67</v>
      </c>
      <c r="N14" s="290">
        <f t="shared" ref="M14:O14" si="1">+N11+N8+N5</f>
        <v>12522392.879999999</v>
      </c>
      <c r="O14" s="290">
        <f t="shared" si="1"/>
        <v>13893034.99</v>
      </c>
      <c r="P14" s="291" t="s">
        <v>1137</v>
      </c>
    </row>
    <row r="15" spans="2:16" s="246" customFormat="1" ht="21" customHeight="1">
      <c r="B15" s="292" t="s">
        <v>1138</v>
      </c>
      <c r="C15" s="293">
        <f>+E14-C14</f>
        <v>-109195.38000000082</v>
      </c>
      <c r="D15" s="293">
        <f>+F14-D14</f>
        <v>-7071.230000000447</v>
      </c>
      <c r="E15" s="293"/>
      <c r="F15" s="293"/>
      <c r="G15" s="247" t="s">
        <v>1139</v>
      </c>
      <c r="K15" s="292" t="s">
        <v>1138</v>
      </c>
      <c r="L15" s="293">
        <f>+N14-L14</f>
        <v>-7071.230000000447</v>
      </c>
      <c r="M15" s="293">
        <f>+O14-M14</f>
        <v>181767.3200000003</v>
      </c>
      <c r="N15" s="293"/>
      <c r="O15" s="293"/>
      <c r="P15" s="247" t="s">
        <v>1139</v>
      </c>
    </row>
    <row r="19" spans="2:16">
      <c r="B19" s="37" t="s">
        <v>1140</v>
      </c>
      <c r="K19" s="37" t="s">
        <v>1140</v>
      </c>
    </row>
    <row r="21" spans="2:16" ht="21" customHeight="1">
      <c r="C21" s="411" t="s">
        <v>1125</v>
      </c>
      <c r="D21" s="412"/>
      <c r="E21" s="411" t="s">
        <v>1126</v>
      </c>
      <c r="F21" s="412"/>
      <c r="L21" s="411" t="s">
        <v>1125</v>
      </c>
      <c r="M21" s="412"/>
      <c r="N21" s="411" t="s">
        <v>1126</v>
      </c>
      <c r="O21" s="412"/>
    </row>
    <row r="22" spans="2:16" ht="21" customHeight="1">
      <c r="C22" s="278" t="s">
        <v>0</v>
      </c>
      <c r="D22" s="278" t="s">
        <v>1127</v>
      </c>
      <c r="E22" s="278" t="s">
        <v>0</v>
      </c>
      <c r="F22" s="278" t="s">
        <v>1127</v>
      </c>
      <c r="L22" s="278" t="s">
        <v>0</v>
      </c>
      <c r="M22" s="278" t="s">
        <v>1127</v>
      </c>
      <c r="N22" s="278" t="s">
        <v>0</v>
      </c>
      <c r="O22" s="278" t="s">
        <v>1127</v>
      </c>
    </row>
    <row r="23" spans="2:16" ht="24" customHeight="1">
      <c r="B23" s="279" t="s">
        <v>1128</v>
      </c>
      <c r="C23" s="280">
        <v>5967075.5099999998</v>
      </c>
      <c r="D23" s="280">
        <v>5780034.6600000001</v>
      </c>
      <c r="E23" s="280">
        <v>8890098.0099999998</v>
      </c>
      <c r="F23" s="280">
        <v>9151069.1899999995</v>
      </c>
      <c r="G23" s="281" t="s">
        <v>1129</v>
      </c>
      <c r="K23" s="279" t="s">
        <v>1128</v>
      </c>
      <c r="L23" s="280">
        <v>5780034.6600000001</v>
      </c>
      <c r="M23" s="280">
        <v>5423490.9900000002</v>
      </c>
      <c r="N23" s="280">
        <v>9151069.1899999995</v>
      </c>
      <c r="O23" s="280">
        <v>9446796.5500000007</v>
      </c>
      <c r="P23" s="281" t="s">
        <v>1129</v>
      </c>
    </row>
    <row r="24" spans="2:16">
      <c r="B24" s="282" t="s">
        <v>1130</v>
      </c>
      <c r="C24" s="283"/>
      <c r="D24" s="284">
        <f>+D23-C23</f>
        <v>-187040.84999999963</v>
      </c>
      <c r="E24" s="283"/>
      <c r="F24" s="284">
        <f>+F23-E23</f>
        <v>260971.1799999997</v>
      </c>
      <c r="G24" s="285" t="s">
        <v>1130</v>
      </c>
      <c r="K24" s="282" t="s">
        <v>1130</v>
      </c>
      <c r="L24" s="283"/>
      <c r="M24" s="284">
        <f>+M23-L23</f>
        <v>-356543.66999999993</v>
      </c>
      <c r="N24" s="283"/>
      <c r="O24" s="284">
        <f>+O23-N23</f>
        <v>295727.36000000127</v>
      </c>
      <c r="P24" s="285" t="s">
        <v>1130</v>
      </c>
    </row>
    <row r="25" spans="2:16">
      <c r="B25" s="286" t="s">
        <v>1131</v>
      </c>
      <c r="C25" s="167"/>
      <c r="D25" s="287">
        <f>+D24/C23</f>
        <v>-3.1345480660760004E-2</v>
      </c>
      <c r="E25" s="167"/>
      <c r="F25" s="287">
        <f>+F24/E23</f>
        <v>2.9355264667098951E-2</v>
      </c>
      <c r="G25" s="288" t="s">
        <v>1131</v>
      </c>
      <c r="K25" s="286" t="s">
        <v>1131</v>
      </c>
      <c r="L25" s="167"/>
      <c r="M25" s="287">
        <f>+M24/L23</f>
        <v>-6.1685386156490614E-2</v>
      </c>
      <c r="N25" s="167"/>
      <c r="O25" s="287">
        <f>+O24/N23</f>
        <v>3.2316153867917731E-2</v>
      </c>
      <c r="P25" s="288" t="s">
        <v>1131</v>
      </c>
    </row>
    <row r="26" spans="2:16" ht="30">
      <c r="B26" s="279" t="s">
        <v>1132</v>
      </c>
      <c r="C26" s="280">
        <v>934820.91</v>
      </c>
      <c r="D26" s="280">
        <v>984616.82</v>
      </c>
      <c r="E26" s="280">
        <v>26897.94</v>
      </c>
      <c r="F26" s="280">
        <v>22812.29</v>
      </c>
      <c r="G26" s="281" t="s">
        <v>1133</v>
      </c>
      <c r="K26" s="279" t="s">
        <v>1132</v>
      </c>
      <c r="L26" s="280">
        <v>984616.82</v>
      </c>
      <c r="M26" s="280">
        <v>897805.1</v>
      </c>
      <c r="N26" s="280">
        <v>22812.29</v>
      </c>
      <c r="O26" s="280">
        <v>82500</v>
      </c>
      <c r="P26" s="281" t="s">
        <v>1133</v>
      </c>
    </row>
    <row r="27" spans="2:16">
      <c r="B27" s="282" t="s">
        <v>1130</v>
      </c>
      <c r="C27" s="283"/>
      <c r="D27" s="284">
        <f>+D26-C26</f>
        <v>49795.909999999916</v>
      </c>
      <c r="E27" s="283"/>
      <c r="F27" s="284">
        <f>+F26-E26</f>
        <v>-4085.6499999999978</v>
      </c>
      <c r="G27" s="285" t="s">
        <v>1130</v>
      </c>
      <c r="K27" s="282" t="s">
        <v>1130</v>
      </c>
      <c r="L27" s="283"/>
      <c r="M27" s="284">
        <f>+M26-L26</f>
        <v>-86811.719999999972</v>
      </c>
      <c r="N27" s="283"/>
      <c r="O27" s="284">
        <f>+O26-N26</f>
        <v>59687.71</v>
      </c>
      <c r="P27" s="285" t="s">
        <v>1130</v>
      </c>
    </row>
    <row r="28" spans="2:16">
      <c r="B28" s="286" t="s">
        <v>1131</v>
      </c>
      <c r="C28" s="167"/>
      <c r="D28" s="287">
        <f>+D27/C26</f>
        <v>5.3267860685743448E-2</v>
      </c>
      <c r="E28" s="167"/>
      <c r="F28" s="287">
        <f>+F27/E26</f>
        <v>-0.15189453170019704</v>
      </c>
      <c r="G28" s="288" t="s">
        <v>1131</v>
      </c>
      <c r="K28" s="286" t="s">
        <v>1131</v>
      </c>
      <c r="L28" s="167"/>
      <c r="M28" s="287">
        <f>+M27/L26</f>
        <v>-8.816802459255163E-2</v>
      </c>
      <c r="N28" s="167"/>
      <c r="O28" s="287">
        <f>+O27/N26</f>
        <v>2.6164716475198238</v>
      </c>
      <c r="P28" s="288" t="s">
        <v>1131</v>
      </c>
    </row>
    <row r="29" spans="2:16" ht="24.75" customHeight="1">
      <c r="B29" s="279" t="s">
        <v>1134</v>
      </c>
      <c r="C29" s="280">
        <v>3624878.6</v>
      </c>
      <c r="D29" s="280">
        <v>3236601.29</v>
      </c>
      <c r="E29" s="280">
        <v>582300.73</v>
      </c>
      <c r="F29" s="280">
        <v>318133.27</v>
      </c>
      <c r="G29" s="281" t="s">
        <v>1135</v>
      </c>
      <c r="K29" s="279" t="s">
        <v>1134</v>
      </c>
      <c r="L29" s="280">
        <v>3236601.29</v>
      </c>
      <c r="M29" s="280">
        <v>3294661.92</v>
      </c>
      <c r="N29" s="280">
        <v>318133.27</v>
      </c>
      <c r="O29" s="280">
        <v>86661.46</v>
      </c>
      <c r="P29" s="281" t="s">
        <v>1135</v>
      </c>
    </row>
    <row r="30" spans="2:16">
      <c r="B30" s="282" t="s">
        <v>1130</v>
      </c>
      <c r="C30" s="283"/>
      <c r="D30" s="284">
        <f>+D29-C29</f>
        <v>-388277.31000000006</v>
      </c>
      <c r="E30" s="283"/>
      <c r="F30" s="284">
        <f>+F29-E29</f>
        <v>-264167.45999999996</v>
      </c>
      <c r="G30" s="285" t="s">
        <v>1130</v>
      </c>
      <c r="K30" s="282" t="s">
        <v>1130</v>
      </c>
      <c r="L30" s="283"/>
      <c r="M30" s="284">
        <f>+M29-L29</f>
        <v>58060.629999999888</v>
      </c>
      <c r="N30" s="283"/>
      <c r="O30" s="284">
        <f>+O29-N29</f>
        <v>-231471.81</v>
      </c>
      <c r="P30" s="285" t="s">
        <v>1130</v>
      </c>
    </row>
    <row r="31" spans="2:16">
      <c r="B31" s="286" t="s">
        <v>1131</v>
      </c>
      <c r="C31" s="167"/>
      <c r="D31" s="287">
        <f>+D30/C29</f>
        <v>-0.1071145692989553</v>
      </c>
      <c r="E31" s="167"/>
      <c r="F31" s="287">
        <f>+F30/E29</f>
        <v>-0.45366156418866238</v>
      </c>
      <c r="G31" s="288" t="s">
        <v>1131</v>
      </c>
      <c r="K31" s="286" t="s">
        <v>1131</v>
      </c>
      <c r="L31" s="167"/>
      <c r="M31" s="287">
        <f>+M30/L29</f>
        <v>1.7938765018535814E-2</v>
      </c>
      <c r="N31" s="167"/>
      <c r="O31" s="287">
        <f>+O30/N29</f>
        <v>-0.72759384769785307</v>
      </c>
      <c r="P31" s="288" t="s">
        <v>1131</v>
      </c>
    </row>
    <row r="32" spans="2:16" s="246" customFormat="1" ht="21" customHeight="1">
      <c r="B32" s="289" t="s">
        <v>1136</v>
      </c>
      <c r="C32" s="290">
        <f>+C29+C26+C23</f>
        <v>10526775.02</v>
      </c>
      <c r="D32" s="290">
        <f t="shared" ref="D32:F32" si="2">+D29+D26+D23</f>
        <v>10001252.77</v>
      </c>
      <c r="E32" s="290">
        <f t="shared" si="2"/>
        <v>9499296.6799999997</v>
      </c>
      <c r="F32" s="290">
        <f t="shared" si="2"/>
        <v>9492014.75</v>
      </c>
      <c r="G32" s="291" t="s">
        <v>1137</v>
      </c>
      <c r="K32" s="289" t="s">
        <v>1136</v>
      </c>
      <c r="L32" s="290">
        <f>+L29+L26+L23</f>
        <v>10001252.77</v>
      </c>
      <c r="M32" s="290">
        <f t="shared" ref="M32:O32" si="3">+M29+M26+M23</f>
        <v>9615958.0099999998</v>
      </c>
      <c r="N32" s="290">
        <f t="shared" si="3"/>
        <v>9492014.75</v>
      </c>
      <c r="O32" s="290">
        <f t="shared" si="3"/>
        <v>9615958.0100000016</v>
      </c>
      <c r="P32" s="291" t="s">
        <v>1137</v>
      </c>
    </row>
    <row r="33" spans="2:16" s="246" customFormat="1" ht="21" customHeight="1">
      <c r="B33" s="292" t="s">
        <v>1138</v>
      </c>
      <c r="C33" s="293">
        <f>+E32-C32</f>
        <v>-1027478.3399999999</v>
      </c>
      <c r="D33" s="293">
        <f>+F32-D32</f>
        <v>-509238.01999999955</v>
      </c>
      <c r="E33" s="293"/>
      <c r="F33" s="293"/>
      <c r="G33" s="247" t="s">
        <v>1139</v>
      </c>
      <c r="K33" s="292" t="s">
        <v>1138</v>
      </c>
      <c r="L33" s="293">
        <f>+N32-L32</f>
        <v>-509238.01999999955</v>
      </c>
      <c r="M33" s="293">
        <f>+O32-M32</f>
        <v>0</v>
      </c>
      <c r="N33" s="293"/>
      <c r="O33" s="293"/>
      <c r="P33" s="247" t="s">
        <v>1139</v>
      </c>
    </row>
    <row r="35" spans="2:16">
      <c r="D35" s="186"/>
      <c r="F35" s="186"/>
      <c r="M35" s="186"/>
      <c r="O35" s="186"/>
    </row>
    <row r="37" spans="2:16">
      <c r="B37" s="37" t="s">
        <v>1141</v>
      </c>
      <c r="K37" s="37" t="s">
        <v>1141</v>
      </c>
    </row>
    <row r="39" spans="2:16" ht="21" customHeight="1">
      <c r="C39" s="411" t="s">
        <v>1125</v>
      </c>
      <c r="D39" s="412"/>
      <c r="E39" s="411" t="s">
        <v>1126</v>
      </c>
      <c r="F39" s="412"/>
      <c r="L39" s="411" t="s">
        <v>1125</v>
      </c>
      <c r="M39" s="412"/>
      <c r="N39" s="411" t="s">
        <v>1126</v>
      </c>
      <c r="O39" s="412"/>
    </row>
    <row r="40" spans="2:16" ht="21" customHeight="1">
      <c r="C40" s="278" t="s">
        <v>0</v>
      </c>
      <c r="D40" s="278" t="s">
        <v>1127</v>
      </c>
      <c r="E40" s="278" t="s">
        <v>0</v>
      </c>
      <c r="F40" s="278" t="s">
        <v>1127</v>
      </c>
      <c r="L40" s="278" t="s">
        <v>0</v>
      </c>
      <c r="M40" s="278" t="s">
        <v>1127</v>
      </c>
      <c r="N40" s="278" t="s">
        <v>0</v>
      </c>
      <c r="O40" s="278" t="s">
        <v>1127</v>
      </c>
    </row>
    <row r="41" spans="2:16" ht="24" customHeight="1">
      <c r="B41" s="279" t="s">
        <v>1128</v>
      </c>
      <c r="C41" s="280">
        <v>915299.28</v>
      </c>
      <c r="D41" s="280">
        <v>922651.59</v>
      </c>
      <c r="E41" s="280">
        <v>1168515.29</v>
      </c>
      <c r="F41" s="280">
        <v>1150401.29</v>
      </c>
      <c r="G41" s="281" t="s">
        <v>1129</v>
      </c>
      <c r="K41" s="279" t="s">
        <v>1128</v>
      </c>
      <c r="L41" s="280">
        <v>922651.59</v>
      </c>
      <c r="M41" s="280">
        <v>1036905.35</v>
      </c>
      <c r="N41" s="280">
        <v>1150401.29</v>
      </c>
      <c r="O41" s="280">
        <v>1379696.54</v>
      </c>
      <c r="P41" s="281" t="s">
        <v>1129</v>
      </c>
    </row>
    <row r="42" spans="2:16">
      <c r="B42" s="282" t="s">
        <v>1130</v>
      </c>
      <c r="C42" s="283"/>
      <c r="D42" s="284">
        <f>+D41-C41</f>
        <v>7352.3099999999395</v>
      </c>
      <c r="E42" s="283"/>
      <c r="F42" s="284">
        <f>+F41-E41</f>
        <v>-18114</v>
      </c>
      <c r="G42" s="285" t="s">
        <v>1130</v>
      </c>
      <c r="K42" s="282" t="s">
        <v>1130</v>
      </c>
      <c r="L42" s="283"/>
      <c r="M42" s="284">
        <f>+M41-L41</f>
        <v>114253.76000000001</v>
      </c>
      <c r="N42" s="283"/>
      <c r="O42" s="284">
        <f>+O41-N41</f>
        <v>229295.25</v>
      </c>
      <c r="P42" s="285" t="s">
        <v>1130</v>
      </c>
    </row>
    <row r="43" spans="2:16">
      <c r="B43" s="286" t="s">
        <v>1131</v>
      </c>
      <c r="C43" s="167"/>
      <c r="D43" s="287">
        <f>+D42/C41</f>
        <v>8.0326841292827616E-3</v>
      </c>
      <c r="E43" s="167"/>
      <c r="F43" s="287">
        <f>+F42/E41</f>
        <v>-1.5501722703174898E-2</v>
      </c>
      <c r="G43" s="288" t="s">
        <v>1131</v>
      </c>
      <c r="K43" s="286" t="s">
        <v>1131</v>
      </c>
      <c r="L43" s="167"/>
      <c r="M43" s="287">
        <f>+M42/L41</f>
        <v>0.12383196565021908</v>
      </c>
      <c r="N43" s="167"/>
      <c r="O43" s="287">
        <f>+O42/N41</f>
        <v>0.19931762246198453</v>
      </c>
      <c r="P43" s="288" t="s">
        <v>1131</v>
      </c>
    </row>
    <row r="44" spans="2:16" ht="30">
      <c r="B44" s="279" t="s">
        <v>1132</v>
      </c>
      <c r="C44" s="280">
        <v>228653.08</v>
      </c>
      <c r="D44" s="280">
        <v>191924.77</v>
      </c>
      <c r="E44" s="280">
        <v>0</v>
      </c>
      <c r="F44" s="280">
        <v>971.78</v>
      </c>
      <c r="G44" s="281" t="s">
        <v>1133</v>
      </c>
      <c r="K44" s="279" t="s">
        <v>1132</v>
      </c>
      <c r="L44" s="280">
        <v>191924.77</v>
      </c>
      <c r="M44" s="280">
        <v>244791.18</v>
      </c>
      <c r="N44" s="280">
        <v>971.78</v>
      </c>
      <c r="O44" s="280"/>
      <c r="P44" s="281" t="s">
        <v>1133</v>
      </c>
    </row>
    <row r="45" spans="2:16">
      <c r="B45" s="282" t="s">
        <v>1130</v>
      </c>
      <c r="C45" s="283"/>
      <c r="D45" s="284">
        <f>+D44-C44</f>
        <v>-36728.31</v>
      </c>
      <c r="E45" s="283"/>
      <c r="F45" s="284">
        <f>+F44-E44</f>
        <v>971.78</v>
      </c>
      <c r="G45" s="285" t="s">
        <v>1130</v>
      </c>
      <c r="K45" s="282" t="s">
        <v>1130</v>
      </c>
      <c r="L45" s="283"/>
      <c r="M45" s="284">
        <f>+M44-L44</f>
        <v>52866.41</v>
      </c>
      <c r="N45" s="283"/>
      <c r="O45" s="284">
        <f>+O44-N44</f>
        <v>-971.78</v>
      </c>
      <c r="P45" s="285" t="s">
        <v>1130</v>
      </c>
    </row>
    <row r="46" spans="2:16">
      <c r="B46" s="286" t="s">
        <v>1131</v>
      </c>
      <c r="C46" s="167"/>
      <c r="D46" s="287">
        <f>+D45/C44</f>
        <v>-0.16062897556420408</v>
      </c>
      <c r="E46" s="167"/>
      <c r="F46" s="287"/>
      <c r="G46" s="288" t="s">
        <v>1131</v>
      </c>
      <c r="K46" s="286" t="s">
        <v>1131</v>
      </c>
      <c r="L46" s="167"/>
      <c r="M46" s="287">
        <f>+M45/L44</f>
        <v>0.27545381453368423</v>
      </c>
      <c r="N46" s="167"/>
      <c r="O46" s="287"/>
      <c r="P46" s="288" t="s">
        <v>1131</v>
      </c>
    </row>
    <row r="47" spans="2:16" ht="24.75" customHeight="1">
      <c r="B47" s="279" t="s">
        <v>1134</v>
      </c>
      <c r="C47" s="280">
        <v>256524.34</v>
      </c>
      <c r="D47" s="280">
        <v>144769.5</v>
      </c>
      <c r="E47" s="280">
        <v>142407.23000000001</v>
      </c>
      <c r="F47" s="280">
        <v>1426.5</v>
      </c>
      <c r="G47" s="281" t="s">
        <v>1135</v>
      </c>
      <c r="K47" s="279" t="s">
        <v>1134</v>
      </c>
      <c r="L47" s="280">
        <v>144769.5</v>
      </c>
      <c r="M47" s="280">
        <v>118000</v>
      </c>
      <c r="N47" s="280">
        <v>1426.5</v>
      </c>
      <c r="O47" s="280">
        <v>20000</v>
      </c>
      <c r="P47" s="281" t="s">
        <v>1135</v>
      </c>
    </row>
    <row r="48" spans="2:16">
      <c r="B48" s="282" t="s">
        <v>1130</v>
      </c>
      <c r="C48" s="283"/>
      <c r="D48" s="284">
        <f>+D47-C47</f>
        <v>-111754.84</v>
      </c>
      <c r="E48" s="283"/>
      <c r="F48" s="284">
        <f>+F47-E47</f>
        <v>-140980.73000000001</v>
      </c>
      <c r="G48" s="285" t="s">
        <v>1130</v>
      </c>
      <c r="K48" s="282" t="s">
        <v>1130</v>
      </c>
      <c r="L48" s="283"/>
      <c r="M48" s="284">
        <f>+M47-L47</f>
        <v>-26769.5</v>
      </c>
      <c r="N48" s="283"/>
      <c r="O48" s="284">
        <f>+O47-N47</f>
        <v>18573.5</v>
      </c>
      <c r="P48" s="285" t="s">
        <v>1130</v>
      </c>
    </row>
    <row r="49" spans="2:16">
      <c r="B49" s="286" t="s">
        <v>1131</v>
      </c>
      <c r="C49" s="167"/>
      <c r="D49" s="287">
        <f>+D48/C47</f>
        <v>-0.43565004396853724</v>
      </c>
      <c r="E49" s="167"/>
      <c r="F49" s="287">
        <f>+F48/E47</f>
        <v>-0.98998295241049206</v>
      </c>
      <c r="G49" s="288" t="s">
        <v>1131</v>
      </c>
      <c r="K49" s="286" t="s">
        <v>1131</v>
      </c>
      <c r="L49" s="167"/>
      <c r="M49" s="287">
        <f>+M48/L47</f>
        <v>-0.18491118640321338</v>
      </c>
      <c r="N49" s="167"/>
      <c r="O49" s="287">
        <f>+O48/N47</f>
        <v>13.020329477742727</v>
      </c>
      <c r="P49" s="288" t="s">
        <v>1131</v>
      </c>
    </row>
    <row r="50" spans="2:16" s="246" customFormat="1" ht="21" customHeight="1">
      <c r="B50" s="289" t="s">
        <v>1136</v>
      </c>
      <c r="C50" s="290">
        <f>+C47+C44+C41</f>
        <v>1400476.7</v>
      </c>
      <c r="D50" s="290">
        <f t="shared" ref="D50:F50" si="4">+D47+D44+D41</f>
        <v>1259345.8599999999</v>
      </c>
      <c r="E50" s="290">
        <f t="shared" si="4"/>
        <v>1310922.52</v>
      </c>
      <c r="F50" s="290">
        <f t="shared" si="4"/>
        <v>1152799.57</v>
      </c>
      <c r="G50" s="291" t="s">
        <v>1137</v>
      </c>
      <c r="K50" s="289" t="s">
        <v>1136</v>
      </c>
      <c r="L50" s="290">
        <f>+L47+L44+L41</f>
        <v>1259345.8599999999</v>
      </c>
      <c r="M50" s="290">
        <f t="shared" ref="M50:O50" si="5">+M47+M44+M41</f>
        <v>1399696.53</v>
      </c>
      <c r="N50" s="290">
        <f t="shared" si="5"/>
        <v>1152799.57</v>
      </c>
      <c r="O50" s="290">
        <f t="shared" si="5"/>
        <v>1399696.54</v>
      </c>
      <c r="P50" s="291" t="s">
        <v>1137</v>
      </c>
    </row>
    <row r="51" spans="2:16" s="246" customFormat="1" ht="21" customHeight="1">
      <c r="B51" s="292" t="s">
        <v>1138</v>
      </c>
      <c r="C51" s="293">
        <f>+E50-C50</f>
        <v>-89554.179999999935</v>
      </c>
      <c r="D51" s="293">
        <f>+F50-D50</f>
        <v>-106546.2899999998</v>
      </c>
      <c r="E51" s="293"/>
      <c r="F51" s="293"/>
      <c r="G51" s="247" t="s">
        <v>1139</v>
      </c>
      <c r="K51" s="292" t="s">
        <v>1138</v>
      </c>
      <c r="L51" s="293">
        <f>+N50-L50</f>
        <v>-106546.2899999998</v>
      </c>
      <c r="M51" s="293">
        <f>+O50-M50</f>
        <v>1.0000000009313226E-2</v>
      </c>
      <c r="N51" s="293"/>
      <c r="O51" s="293"/>
      <c r="P51" s="247" t="s">
        <v>1139</v>
      </c>
    </row>
    <row r="56" spans="2:16">
      <c r="B56" s="37" t="s">
        <v>1142</v>
      </c>
      <c r="K56" s="37" t="s">
        <v>1142</v>
      </c>
    </row>
    <row r="58" spans="2:16" ht="21" customHeight="1">
      <c r="C58" s="411" t="s">
        <v>1125</v>
      </c>
      <c r="D58" s="412"/>
      <c r="E58" s="411" t="s">
        <v>1126</v>
      </c>
      <c r="F58" s="412"/>
      <c r="L58" s="411" t="s">
        <v>1125</v>
      </c>
      <c r="M58" s="412"/>
      <c r="N58" s="411" t="s">
        <v>1126</v>
      </c>
      <c r="O58" s="412"/>
    </row>
    <row r="59" spans="2:16" ht="21" customHeight="1">
      <c r="C59" s="278" t="s">
        <v>0</v>
      </c>
      <c r="D59" s="278" t="s">
        <v>1127</v>
      </c>
      <c r="E59" s="278" t="s">
        <v>0</v>
      </c>
      <c r="F59" s="278" t="s">
        <v>1127</v>
      </c>
      <c r="L59" s="278" t="s">
        <v>0</v>
      </c>
      <c r="M59" s="278" t="s">
        <v>1127</v>
      </c>
      <c r="N59" s="278" t="s">
        <v>0</v>
      </c>
      <c r="O59" s="278" t="s">
        <v>1127</v>
      </c>
    </row>
    <row r="60" spans="2:16" ht="24" customHeight="1">
      <c r="B60" s="279" t="s">
        <v>1128</v>
      </c>
      <c r="C60" s="280">
        <v>1351141.68</v>
      </c>
      <c r="D60" s="280">
        <v>1419312.79</v>
      </c>
      <c r="E60" s="280">
        <v>1428796.79</v>
      </c>
      <c r="F60" s="280">
        <v>1773</v>
      </c>
      <c r="G60" s="281" t="s">
        <v>1129</v>
      </c>
      <c r="K60" s="279" t="s">
        <v>1128</v>
      </c>
      <c r="L60" s="280">
        <v>1419312.79</v>
      </c>
      <c r="M60" s="280">
        <v>1625648.65</v>
      </c>
      <c r="N60" s="280">
        <v>1773</v>
      </c>
      <c r="O60" s="280">
        <v>2000</v>
      </c>
      <c r="P60" s="281" t="s">
        <v>1129</v>
      </c>
    </row>
    <row r="61" spans="2:16">
      <c r="B61" s="282" t="s">
        <v>1130</v>
      </c>
      <c r="C61" s="283"/>
      <c r="D61" s="284">
        <f>+D60-C60</f>
        <v>68171.110000000102</v>
      </c>
      <c r="E61" s="283"/>
      <c r="F61" s="284">
        <f>+F60-E60</f>
        <v>-1427023.79</v>
      </c>
      <c r="G61" s="285" t="s">
        <v>1130</v>
      </c>
      <c r="K61" s="282" t="s">
        <v>1130</v>
      </c>
      <c r="L61" s="283"/>
      <c r="M61" s="284">
        <f>+M60-L60</f>
        <v>206335.85999999987</v>
      </c>
      <c r="N61" s="283"/>
      <c r="O61" s="284">
        <f>+O60-N60</f>
        <v>227</v>
      </c>
      <c r="P61" s="285" t="s">
        <v>1130</v>
      </c>
    </row>
    <row r="62" spans="2:16">
      <c r="B62" s="286" t="s">
        <v>1131</v>
      </c>
      <c r="C62" s="167"/>
      <c r="D62" s="287">
        <f>+D61/C60</f>
        <v>5.0454449750969202E-2</v>
      </c>
      <c r="E62" s="167"/>
      <c r="F62" s="287">
        <f>+F61/E60</f>
        <v>-0.99875909575636712</v>
      </c>
      <c r="G62" s="288" t="s">
        <v>1131</v>
      </c>
      <c r="K62" s="286" t="s">
        <v>1131</v>
      </c>
      <c r="L62" s="167"/>
      <c r="M62" s="287">
        <f>+M61/L60</f>
        <v>0.14537729910825356</v>
      </c>
      <c r="N62" s="167"/>
      <c r="O62" s="287">
        <f>+O61/N60</f>
        <v>0.12803158488437677</v>
      </c>
      <c r="P62" s="288" t="s">
        <v>1131</v>
      </c>
    </row>
    <row r="63" spans="2:16" ht="30">
      <c r="B63" s="279" t="s">
        <v>1132</v>
      </c>
      <c r="C63" s="280">
        <v>119599.93</v>
      </c>
      <c r="D63" s="280">
        <v>137722.92000000001</v>
      </c>
      <c r="E63" s="280">
        <v>415728.51</v>
      </c>
      <c r="F63" s="280">
        <v>1950197.43</v>
      </c>
      <c r="G63" s="281" t="s">
        <v>1133</v>
      </c>
      <c r="K63" s="279" t="s">
        <v>1132</v>
      </c>
      <c r="L63" s="280">
        <v>137722.92000000001</v>
      </c>
      <c r="M63" s="280">
        <v>118511.59</v>
      </c>
      <c r="N63" s="280">
        <v>1950197.43</v>
      </c>
      <c r="O63" s="280">
        <v>2123840.4</v>
      </c>
      <c r="P63" s="281" t="s">
        <v>1133</v>
      </c>
    </row>
    <row r="64" spans="2:16">
      <c r="B64" s="282" t="s">
        <v>1130</v>
      </c>
      <c r="C64" s="283"/>
      <c r="D64" s="284">
        <f>+D63-C63</f>
        <v>18122.99000000002</v>
      </c>
      <c r="E64" s="283"/>
      <c r="F64" s="284">
        <f>+F63-E63</f>
        <v>1534468.92</v>
      </c>
      <c r="G64" s="285" t="s">
        <v>1130</v>
      </c>
      <c r="K64" s="282" t="s">
        <v>1130</v>
      </c>
      <c r="L64" s="283"/>
      <c r="M64" s="284">
        <f>+M63-L63</f>
        <v>-19211.330000000016</v>
      </c>
      <c r="N64" s="283"/>
      <c r="O64" s="284">
        <f>+O63-N63</f>
        <v>173642.96999999997</v>
      </c>
      <c r="P64" s="285" t="s">
        <v>1130</v>
      </c>
    </row>
    <row r="65" spans="2:16">
      <c r="B65" s="286" t="s">
        <v>1131</v>
      </c>
      <c r="C65" s="167"/>
      <c r="D65" s="287">
        <f>+D64/C63</f>
        <v>0.151530105410597</v>
      </c>
      <c r="E65" s="167"/>
      <c r="F65" s="287">
        <f>+F64/E63</f>
        <v>3.6910360561992728</v>
      </c>
      <c r="G65" s="288" t="s">
        <v>1131</v>
      </c>
      <c r="K65" s="286" t="s">
        <v>1131</v>
      </c>
      <c r="L65" s="167"/>
      <c r="M65" s="287">
        <f>+M64/L63</f>
        <v>-0.13949261313948336</v>
      </c>
      <c r="N65" s="167"/>
      <c r="O65" s="287">
        <f>+O64/N63</f>
        <v>8.9038662100995578E-2</v>
      </c>
      <c r="P65" s="288" t="s">
        <v>1131</v>
      </c>
    </row>
    <row r="66" spans="2:16" ht="24.75" customHeight="1">
      <c r="B66" s="279" t="s">
        <v>1134</v>
      </c>
      <c r="C66" s="280">
        <v>468247.63</v>
      </c>
      <c r="D66" s="280">
        <v>460674.18</v>
      </c>
      <c r="E66" s="280">
        <v>78278.52</v>
      </c>
      <c r="F66" s="280">
        <v>65378.21</v>
      </c>
      <c r="G66" s="281" t="s">
        <v>1135</v>
      </c>
      <c r="K66" s="279" t="s">
        <v>1134</v>
      </c>
      <c r="L66" s="280">
        <v>460674.18</v>
      </c>
      <c r="M66" s="280">
        <v>442229.47</v>
      </c>
      <c r="N66" s="280">
        <v>65378.21</v>
      </c>
      <c r="O66" s="280">
        <v>60549.3</v>
      </c>
      <c r="P66" s="281" t="s">
        <v>1135</v>
      </c>
    </row>
    <row r="67" spans="2:16">
      <c r="B67" s="282" t="s">
        <v>1130</v>
      </c>
      <c r="C67" s="283"/>
      <c r="D67" s="284">
        <f>+D66-C66</f>
        <v>-7573.4500000000116</v>
      </c>
      <c r="E67" s="283"/>
      <c r="F67" s="284">
        <f>+F66-E66</f>
        <v>-12900.310000000005</v>
      </c>
      <c r="G67" s="285" t="s">
        <v>1130</v>
      </c>
      <c r="K67" s="282" t="s">
        <v>1130</v>
      </c>
      <c r="L67" s="283"/>
      <c r="M67" s="284">
        <f>+M66-L66</f>
        <v>-18444.710000000021</v>
      </c>
      <c r="N67" s="283"/>
      <c r="O67" s="284">
        <f>+O66-N66</f>
        <v>-4828.9099999999962</v>
      </c>
      <c r="P67" s="285" t="s">
        <v>1130</v>
      </c>
    </row>
    <row r="68" spans="2:16">
      <c r="B68" s="286" t="s">
        <v>1131</v>
      </c>
      <c r="C68" s="167"/>
      <c r="D68" s="287">
        <f>+D67/C66</f>
        <v>-1.6174027405114706E-2</v>
      </c>
      <c r="E68" s="167"/>
      <c r="F68" s="287">
        <f>+F67/E66</f>
        <v>-0.16480012652257611</v>
      </c>
      <c r="G68" s="288" t="s">
        <v>1131</v>
      </c>
      <c r="K68" s="286" t="s">
        <v>1131</v>
      </c>
      <c r="L68" s="167"/>
      <c r="M68" s="287">
        <f>+M67/L66</f>
        <v>-4.0038514856639069E-2</v>
      </c>
      <c r="N68" s="167"/>
      <c r="O68" s="287">
        <f>+O67/N66</f>
        <v>-7.3861153433230978E-2</v>
      </c>
      <c r="P68" s="288" t="s">
        <v>1131</v>
      </c>
    </row>
    <row r="69" spans="2:16" s="246" customFormat="1" ht="21" customHeight="1">
      <c r="B69" s="289" t="s">
        <v>1136</v>
      </c>
      <c r="C69" s="290">
        <f>+C66+C63+C60</f>
        <v>1938989.24</v>
      </c>
      <c r="D69" s="290">
        <f t="shared" ref="D69:F69" si="6">+D66+D63+D60</f>
        <v>2017709.8900000001</v>
      </c>
      <c r="E69" s="290">
        <f t="shared" si="6"/>
        <v>1922803.82</v>
      </c>
      <c r="F69" s="290">
        <f t="shared" si="6"/>
        <v>2017348.64</v>
      </c>
      <c r="G69" s="291" t="s">
        <v>1137</v>
      </c>
      <c r="K69" s="289" t="s">
        <v>1136</v>
      </c>
      <c r="L69" s="290">
        <f>+L66+L63+L60</f>
        <v>2017709.8900000001</v>
      </c>
      <c r="M69" s="290">
        <f t="shared" ref="M69:O69" si="7">+M66+M63+M60</f>
        <v>2186389.71</v>
      </c>
      <c r="N69" s="290">
        <f t="shared" si="7"/>
        <v>2017348.64</v>
      </c>
      <c r="O69" s="290">
        <f t="shared" si="7"/>
        <v>2186389.6999999997</v>
      </c>
      <c r="P69" s="291" t="s">
        <v>1137</v>
      </c>
    </row>
    <row r="70" spans="2:16" s="246" customFormat="1" ht="21" customHeight="1">
      <c r="B70" s="292" t="s">
        <v>1138</v>
      </c>
      <c r="C70" s="293">
        <f>+E69-C69</f>
        <v>-16185.419999999925</v>
      </c>
      <c r="D70" s="293">
        <f>+F69-D69</f>
        <v>-361.25000000023283</v>
      </c>
      <c r="E70" s="293"/>
      <c r="F70" s="293"/>
      <c r="G70" s="247" t="s">
        <v>1139</v>
      </c>
      <c r="K70" s="292" t="s">
        <v>1138</v>
      </c>
      <c r="L70" s="293">
        <f>+N69-L69</f>
        <v>-361.25000000023283</v>
      </c>
      <c r="M70" s="293">
        <f>-O69+M69</f>
        <v>1.0000000242143869E-2</v>
      </c>
      <c r="N70" s="293"/>
      <c r="O70" s="293"/>
      <c r="P70" s="247" t="s">
        <v>1139</v>
      </c>
    </row>
    <row r="75" spans="2:16">
      <c r="B75" s="37" t="s">
        <v>1143</v>
      </c>
      <c r="K75" s="37" t="s">
        <v>1143</v>
      </c>
    </row>
    <row r="76" spans="2:16" ht="21" customHeight="1">
      <c r="C76" s="411" t="s">
        <v>1125</v>
      </c>
      <c r="D76" s="412"/>
      <c r="E76" s="411" t="s">
        <v>1126</v>
      </c>
      <c r="F76" s="412"/>
      <c r="L76" s="411" t="s">
        <v>1125</v>
      </c>
      <c r="M76" s="412"/>
      <c r="N76" s="411" t="s">
        <v>1126</v>
      </c>
      <c r="O76" s="412"/>
    </row>
    <row r="77" spans="2:16" ht="21" customHeight="1">
      <c r="C77" s="278" t="s">
        <v>0</v>
      </c>
      <c r="D77" s="278" t="s">
        <v>1127</v>
      </c>
      <c r="E77" s="278" t="s">
        <v>0</v>
      </c>
      <c r="F77" s="278" t="s">
        <v>1127</v>
      </c>
      <c r="L77" s="278" t="s">
        <v>0</v>
      </c>
      <c r="M77" s="278" t="s">
        <v>1127</v>
      </c>
      <c r="N77" s="278" t="s">
        <v>0</v>
      </c>
      <c r="O77" s="278" t="s">
        <v>1127</v>
      </c>
    </row>
    <row r="78" spans="2:16" ht="24" customHeight="1">
      <c r="B78" s="279" t="s">
        <v>1128</v>
      </c>
      <c r="C78" s="280"/>
      <c r="D78" s="280"/>
      <c r="E78" s="280"/>
      <c r="F78" s="280"/>
      <c r="G78" s="281" t="s">
        <v>1129</v>
      </c>
      <c r="K78" s="279" t="s">
        <v>1128</v>
      </c>
      <c r="L78" s="280"/>
      <c r="M78" s="280"/>
      <c r="N78" s="280"/>
      <c r="O78" s="280"/>
      <c r="P78" s="281" t="s">
        <v>1129</v>
      </c>
    </row>
    <row r="79" spans="2:16">
      <c r="B79" s="282" t="s">
        <v>1130</v>
      </c>
      <c r="C79" s="283"/>
      <c r="D79" s="284">
        <f>+D78-C78</f>
        <v>0</v>
      </c>
      <c r="E79" s="283"/>
      <c r="F79" s="284">
        <f>+F78-E78</f>
        <v>0</v>
      </c>
      <c r="G79" s="285" t="s">
        <v>1130</v>
      </c>
      <c r="K79" s="282" t="s">
        <v>1130</v>
      </c>
      <c r="L79" s="283"/>
      <c r="M79" s="284">
        <f>+M78-L78</f>
        <v>0</v>
      </c>
      <c r="N79" s="283"/>
      <c r="O79" s="284">
        <f>+O78-N78</f>
        <v>0</v>
      </c>
      <c r="P79" s="285" t="s">
        <v>1130</v>
      </c>
    </row>
    <row r="80" spans="2:16">
      <c r="B80" s="286" t="s">
        <v>1131</v>
      </c>
      <c r="C80" s="167"/>
      <c r="D80" s="287"/>
      <c r="E80" s="167"/>
      <c r="F80" s="287"/>
      <c r="G80" s="288" t="s">
        <v>1131</v>
      </c>
      <c r="K80" s="286" t="s">
        <v>1131</v>
      </c>
      <c r="L80" s="167"/>
      <c r="M80" s="287"/>
      <c r="N80" s="167"/>
      <c r="O80" s="287"/>
      <c r="P80" s="288" t="s">
        <v>1131</v>
      </c>
    </row>
    <row r="81" spans="2:16" ht="30">
      <c r="B81" s="279" t="s">
        <v>1132</v>
      </c>
      <c r="C81" s="280"/>
      <c r="D81" s="280"/>
      <c r="E81" s="280">
        <v>23582.51</v>
      </c>
      <c r="F81" s="280">
        <v>22865.87</v>
      </c>
      <c r="G81" s="281" t="s">
        <v>1133</v>
      </c>
      <c r="K81" s="279" t="s">
        <v>1132</v>
      </c>
      <c r="L81" s="280"/>
      <c r="M81" s="280"/>
      <c r="N81" s="280">
        <v>22865.87</v>
      </c>
      <c r="O81" s="280">
        <v>25000</v>
      </c>
      <c r="P81" s="281" t="s">
        <v>1133</v>
      </c>
    </row>
    <row r="82" spans="2:16">
      <c r="B82" s="282" t="s">
        <v>1130</v>
      </c>
      <c r="C82" s="283"/>
      <c r="D82" s="284">
        <f>+D81-C81</f>
        <v>0</v>
      </c>
      <c r="E82" s="283"/>
      <c r="F82" s="284">
        <f>+F81-E81</f>
        <v>-716.63999999999942</v>
      </c>
      <c r="G82" s="285" t="s">
        <v>1130</v>
      </c>
      <c r="K82" s="282" t="s">
        <v>1130</v>
      </c>
      <c r="L82" s="283"/>
      <c r="M82" s="284">
        <f>+M81-L81</f>
        <v>0</v>
      </c>
      <c r="N82" s="283"/>
      <c r="O82" s="284">
        <f>+O81-N81</f>
        <v>2134.130000000001</v>
      </c>
      <c r="P82" s="285" t="s">
        <v>1130</v>
      </c>
    </row>
    <row r="83" spans="2:16">
      <c r="B83" s="286" t="s">
        <v>1131</v>
      </c>
      <c r="C83" s="167"/>
      <c r="D83" s="287"/>
      <c r="E83" s="167"/>
      <c r="F83" s="287">
        <f>+F82/E81</f>
        <v>-3.0388622754744913E-2</v>
      </c>
      <c r="G83" s="288" t="s">
        <v>1131</v>
      </c>
      <c r="K83" s="286" t="s">
        <v>1131</v>
      </c>
      <c r="L83" s="167"/>
      <c r="M83" s="287"/>
      <c r="N83" s="167"/>
      <c r="O83" s="287">
        <f>+O82/N81</f>
        <v>9.3332551965002911E-2</v>
      </c>
      <c r="P83" s="288" t="s">
        <v>1131</v>
      </c>
    </row>
    <row r="84" spans="2:16" ht="24.75" customHeight="1">
      <c r="B84" s="279" t="s">
        <v>1134</v>
      </c>
      <c r="C84" s="280">
        <v>7596.96</v>
      </c>
      <c r="D84" s="280">
        <v>8290</v>
      </c>
      <c r="E84" s="280"/>
      <c r="F84" s="280"/>
      <c r="G84" s="281" t="s">
        <v>1135</v>
      </c>
      <c r="K84" s="279" t="s">
        <v>1134</v>
      </c>
      <c r="L84" s="280">
        <v>8290</v>
      </c>
      <c r="M84" s="280">
        <v>9000</v>
      </c>
      <c r="N84" s="280"/>
      <c r="O84" s="280"/>
      <c r="P84" s="281" t="s">
        <v>1135</v>
      </c>
    </row>
    <row r="85" spans="2:16">
      <c r="B85" s="282" t="s">
        <v>1130</v>
      </c>
      <c r="C85" s="283"/>
      <c r="D85" s="284">
        <f>+D84-C84</f>
        <v>693.04</v>
      </c>
      <c r="E85" s="283"/>
      <c r="F85" s="284">
        <f>+F84-E84</f>
        <v>0</v>
      </c>
      <c r="G85" s="285" t="s">
        <v>1130</v>
      </c>
      <c r="K85" s="282" t="s">
        <v>1130</v>
      </c>
      <c r="L85" s="283"/>
      <c r="M85" s="284">
        <f>+M84-L84</f>
        <v>710</v>
      </c>
      <c r="N85" s="283"/>
      <c r="O85" s="284">
        <f>+O84-N84</f>
        <v>0</v>
      </c>
      <c r="P85" s="285" t="s">
        <v>1130</v>
      </c>
    </row>
    <row r="86" spans="2:16">
      <c r="B86" s="286" t="s">
        <v>1131</v>
      </c>
      <c r="C86" s="167"/>
      <c r="D86" s="287">
        <f>+D85/C84</f>
        <v>9.1225964069838461E-2</v>
      </c>
      <c r="E86" s="167"/>
      <c r="F86" s="287"/>
      <c r="G86" s="288" t="s">
        <v>1131</v>
      </c>
      <c r="K86" s="286" t="s">
        <v>1131</v>
      </c>
      <c r="L86" s="167"/>
      <c r="M86" s="287">
        <f>+M85/L84</f>
        <v>8.5645355850422197E-2</v>
      </c>
      <c r="N86" s="167"/>
      <c r="O86" s="287"/>
      <c r="P86" s="288" t="s">
        <v>1131</v>
      </c>
    </row>
    <row r="87" spans="2:16" s="246" customFormat="1" ht="21" customHeight="1">
      <c r="B87" s="289" t="s">
        <v>1136</v>
      </c>
      <c r="C87" s="290">
        <f>+C84+C81+C78</f>
        <v>7596.96</v>
      </c>
      <c r="D87" s="290">
        <f t="shared" ref="D87:F87" si="8">+D84+D81+D78</f>
        <v>8290</v>
      </c>
      <c r="E87" s="290">
        <f t="shared" si="8"/>
        <v>23582.51</v>
      </c>
      <c r="F87" s="290">
        <f t="shared" si="8"/>
        <v>22865.87</v>
      </c>
      <c r="G87" s="291" t="s">
        <v>1137</v>
      </c>
      <c r="K87" s="289" t="s">
        <v>1136</v>
      </c>
      <c r="L87" s="290">
        <f>+L84+L81+L78</f>
        <v>8290</v>
      </c>
      <c r="M87" s="290">
        <f t="shared" ref="M87:O87" si="9">+M84+M81+M78</f>
        <v>9000</v>
      </c>
      <c r="N87" s="290">
        <f t="shared" si="9"/>
        <v>22865.87</v>
      </c>
      <c r="O87" s="290">
        <f t="shared" si="9"/>
        <v>25000</v>
      </c>
      <c r="P87" s="291" t="s">
        <v>1137</v>
      </c>
    </row>
    <row r="88" spans="2:16" s="246" customFormat="1" ht="21" customHeight="1">
      <c r="B88" s="292" t="s">
        <v>1138</v>
      </c>
      <c r="C88" s="293"/>
      <c r="D88" s="293"/>
      <c r="E88" s="293">
        <f>+E87-C87</f>
        <v>15985.55</v>
      </c>
      <c r="F88" s="293">
        <f>+F87-D87</f>
        <v>14575.869999999999</v>
      </c>
      <c r="G88" s="247" t="s">
        <v>1139</v>
      </c>
      <c r="K88" s="292" t="s">
        <v>1138</v>
      </c>
      <c r="L88" s="293"/>
      <c r="M88" s="293"/>
      <c r="N88" s="293">
        <f>+N87-L87</f>
        <v>14575.869999999999</v>
      </c>
      <c r="O88" s="293">
        <f>+O87-M87</f>
        <v>16000</v>
      </c>
      <c r="P88" s="247" t="s">
        <v>1139</v>
      </c>
    </row>
    <row r="92" spans="2:16">
      <c r="B92" s="37" t="s">
        <v>1144</v>
      </c>
      <c r="K92" s="37" t="s">
        <v>1144</v>
      </c>
    </row>
    <row r="93" spans="2:16" ht="21" customHeight="1">
      <c r="C93" s="411" t="s">
        <v>1125</v>
      </c>
      <c r="D93" s="412"/>
      <c r="E93" s="411" t="s">
        <v>1126</v>
      </c>
      <c r="F93" s="412"/>
      <c r="L93" s="411" t="s">
        <v>1125</v>
      </c>
      <c r="M93" s="412"/>
      <c r="N93" s="411" t="s">
        <v>1126</v>
      </c>
      <c r="O93" s="412"/>
    </row>
    <row r="94" spans="2:16" ht="21" customHeight="1">
      <c r="C94" s="278" t="s">
        <v>0</v>
      </c>
      <c r="D94" s="278" t="s">
        <v>1127</v>
      </c>
      <c r="E94" s="278" t="s">
        <v>0</v>
      </c>
      <c r="F94" s="278" t="s">
        <v>1127</v>
      </c>
      <c r="L94" s="278" t="s">
        <v>0</v>
      </c>
      <c r="M94" s="278" t="s">
        <v>1127</v>
      </c>
      <c r="N94" s="278" t="s">
        <v>0</v>
      </c>
      <c r="O94" s="278" t="s">
        <v>1127</v>
      </c>
    </row>
    <row r="95" spans="2:16" ht="24" customHeight="1">
      <c r="B95" s="279" t="s">
        <v>1128</v>
      </c>
      <c r="C95" s="280"/>
      <c r="D95" s="280"/>
      <c r="E95" s="280"/>
      <c r="F95" s="280"/>
      <c r="G95" s="281" t="s">
        <v>1129</v>
      </c>
      <c r="K95" s="279" t="s">
        <v>1128</v>
      </c>
      <c r="L95" s="280"/>
      <c r="M95" s="280"/>
      <c r="N95" s="280"/>
      <c r="O95" s="280"/>
      <c r="P95" s="281" t="s">
        <v>1129</v>
      </c>
    </row>
    <row r="96" spans="2:16">
      <c r="B96" s="282" t="s">
        <v>1130</v>
      </c>
      <c r="C96" s="283"/>
      <c r="D96" s="284">
        <f>+D95-C95</f>
        <v>0</v>
      </c>
      <c r="E96" s="283"/>
      <c r="F96" s="284">
        <f>+F95-E95</f>
        <v>0</v>
      </c>
      <c r="G96" s="285" t="s">
        <v>1130</v>
      </c>
      <c r="K96" s="282" t="s">
        <v>1130</v>
      </c>
      <c r="L96" s="283"/>
      <c r="M96" s="284">
        <f>+M95-L95</f>
        <v>0</v>
      </c>
      <c r="N96" s="283"/>
      <c r="O96" s="284">
        <f>+O95-N95</f>
        <v>0</v>
      </c>
      <c r="P96" s="285" t="s">
        <v>1130</v>
      </c>
    </row>
    <row r="97" spans="2:16">
      <c r="B97" s="286" t="s">
        <v>1131</v>
      </c>
      <c r="C97" s="167"/>
      <c r="D97" s="287"/>
      <c r="E97" s="167"/>
      <c r="F97" s="287"/>
      <c r="G97" s="288" t="s">
        <v>1131</v>
      </c>
      <c r="K97" s="286" t="s">
        <v>1131</v>
      </c>
      <c r="L97" s="167"/>
      <c r="M97" s="287"/>
      <c r="N97" s="167"/>
      <c r="O97" s="287"/>
      <c r="P97" s="288" t="s">
        <v>1131</v>
      </c>
    </row>
    <row r="98" spans="2:16" ht="30">
      <c r="B98" s="279" t="s">
        <v>1132</v>
      </c>
      <c r="C98" s="280"/>
      <c r="D98" s="280"/>
      <c r="E98" s="280">
        <v>266046.64</v>
      </c>
      <c r="F98" s="280">
        <v>275000</v>
      </c>
      <c r="G98" s="281" t="s">
        <v>1133</v>
      </c>
      <c r="K98" s="279" t="s">
        <v>1132</v>
      </c>
      <c r="L98" s="280"/>
      <c r="M98" s="280"/>
      <c r="N98" s="280">
        <v>275000</v>
      </c>
      <c r="O98" s="280">
        <v>280000</v>
      </c>
      <c r="P98" s="281" t="s">
        <v>1133</v>
      </c>
    </row>
    <row r="99" spans="2:16">
      <c r="B99" s="282" t="s">
        <v>1130</v>
      </c>
      <c r="C99" s="283"/>
      <c r="D99" s="284">
        <f>+D98-C98</f>
        <v>0</v>
      </c>
      <c r="E99" s="283"/>
      <c r="F99" s="284">
        <f>+F98-E98</f>
        <v>8953.359999999986</v>
      </c>
      <c r="G99" s="285" t="s">
        <v>1130</v>
      </c>
      <c r="K99" s="282" t="s">
        <v>1130</v>
      </c>
      <c r="L99" s="283"/>
      <c r="M99" s="284">
        <f>+M98-L98</f>
        <v>0</v>
      </c>
      <c r="N99" s="283"/>
      <c r="O99" s="284">
        <f>+O98-N98</f>
        <v>5000</v>
      </c>
      <c r="P99" s="285" t="s">
        <v>1130</v>
      </c>
    </row>
    <row r="100" spans="2:16">
      <c r="B100" s="286" t="s">
        <v>1131</v>
      </c>
      <c r="C100" s="167"/>
      <c r="D100" s="287"/>
      <c r="E100" s="167"/>
      <c r="F100" s="287">
        <f>+F99/E98</f>
        <v>3.3653347398035119E-2</v>
      </c>
      <c r="G100" s="288" t="s">
        <v>1131</v>
      </c>
      <c r="K100" s="286" t="s">
        <v>1131</v>
      </c>
      <c r="L100" s="167"/>
      <c r="M100" s="287"/>
      <c r="N100" s="167"/>
      <c r="O100" s="287">
        <f>+O99/N98</f>
        <v>1.8181818181818181E-2</v>
      </c>
      <c r="P100" s="288" t="s">
        <v>1131</v>
      </c>
    </row>
    <row r="101" spans="2:16" ht="24.75" customHeight="1">
      <c r="B101" s="279" t="s">
        <v>1134</v>
      </c>
      <c r="C101" s="280">
        <v>266169.5</v>
      </c>
      <c r="D101" s="280">
        <v>275000</v>
      </c>
      <c r="E101" s="280"/>
      <c r="F101" s="280"/>
      <c r="G101" s="281" t="s">
        <v>1135</v>
      </c>
      <c r="K101" s="279" t="s">
        <v>1134</v>
      </c>
      <c r="L101" s="280">
        <v>275000</v>
      </c>
      <c r="M101" s="280">
        <v>280000</v>
      </c>
      <c r="N101" s="280"/>
      <c r="O101" s="280"/>
      <c r="P101" s="281" t="s">
        <v>1135</v>
      </c>
    </row>
    <row r="102" spans="2:16">
      <c r="B102" s="282" t="s">
        <v>1130</v>
      </c>
      <c r="C102" s="283"/>
      <c r="D102" s="284">
        <f>+D101-C101</f>
        <v>8830.5</v>
      </c>
      <c r="E102" s="283"/>
      <c r="F102" s="284">
        <f>+F101-E101</f>
        <v>0</v>
      </c>
      <c r="G102" s="285" t="s">
        <v>1130</v>
      </c>
      <c r="K102" s="282" t="s">
        <v>1130</v>
      </c>
      <c r="L102" s="283"/>
      <c r="M102" s="284">
        <f>+M101-L101</f>
        <v>5000</v>
      </c>
      <c r="N102" s="283"/>
      <c r="O102" s="284">
        <f>+O101-N101</f>
        <v>0</v>
      </c>
      <c r="P102" s="285" t="s">
        <v>1130</v>
      </c>
    </row>
    <row r="103" spans="2:16">
      <c r="B103" s="286" t="s">
        <v>1131</v>
      </c>
      <c r="C103" s="167"/>
      <c r="D103" s="287">
        <f>+D102/C101</f>
        <v>3.3176227929946893E-2</v>
      </c>
      <c r="E103" s="167"/>
      <c r="F103" s="287"/>
      <c r="G103" s="288" t="s">
        <v>1131</v>
      </c>
      <c r="K103" s="286" t="s">
        <v>1131</v>
      </c>
      <c r="L103" s="167"/>
      <c r="M103" s="287">
        <f>+M102/L101</f>
        <v>1.8181818181818181E-2</v>
      </c>
      <c r="N103" s="167"/>
      <c r="O103" s="287"/>
      <c r="P103" s="288" t="s">
        <v>1131</v>
      </c>
    </row>
    <row r="104" spans="2:16" s="246" customFormat="1" ht="21" customHeight="1">
      <c r="B104" s="289" t="s">
        <v>1136</v>
      </c>
      <c r="C104" s="290">
        <f>+C101+C98+C95</f>
        <v>266169.5</v>
      </c>
      <c r="D104" s="290">
        <f t="shared" ref="D104:F104" si="10">+D101+D98+D95</f>
        <v>275000</v>
      </c>
      <c r="E104" s="290">
        <f t="shared" si="10"/>
        <v>266046.64</v>
      </c>
      <c r="F104" s="290">
        <f t="shared" si="10"/>
        <v>275000</v>
      </c>
      <c r="G104" s="291" t="s">
        <v>1137</v>
      </c>
      <c r="K104" s="289" t="s">
        <v>1136</v>
      </c>
      <c r="L104" s="290">
        <f>+L101+L98+L95</f>
        <v>275000</v>
      </c>
      <c r="M104" s="290">
        <f t="shared" ref="M104:O104" si="11">+M101+M98+M95</f>
        <v>280000</v>
      </c>
      <c r="N104" s="290">
        <f t="shared" si="11"/>
        <v>275000</v>
      </c>
      <c r="O104" s="290">
        <f t="shared" si="11"/>
        <v>280000</v>
      </c>
      <c r="P104" s="291" t="s">
        <v>1137</v>
      </c>
    </row>
    <row r="105" spans="2:16" s="246" customFormat="1" ht="21" customHeight="1">
      <c r="B105" s="292" t="s">
        <v>1138</v>
      </c>
      <c r="C105" s="293">
        <f>+E104-C104</f>
        <v>-122.85999999998603</v>
      </c>
      <c r="D105" s="293">
        <f>+F104-D104</f>
        <v>0</v>
      </c>
      <c r="E105" s="293"/>
      <c r="F105" s="293"/>
      <c r="G105" s="247" t="s">
        <v>1139</v>
      </c>
      <c r="K105" s="292" t="s">
        <v>1138</v>
      </c>
      <c r="L105" s="293">
        <f>+N104-L104</f>
        <v>0</v>
      </c>
      <c r="M105" s="293">
        <f>+O104-M104</f>
        <v>0</v>
      </c>
      <c r="N105" s="293"/>
      <c r="O105" s="293"/>
      <c r="P105" s="247" t="s">
        <v>1139</v>
      </c>
    </row>
    <row r="111" spans="2:16">
      <c r="D111" s="437"/>
    </row>
  </sheetData>
  <mergeCells count="24">
    <mergeCell ref="L58:M58"/>
    <mergeCell ref="N58:O58"/>
    <mergeCell ref="L76:M76"/>
    <mergeCell ref="N76:O76"/>
    <mergeCell ref="L93:M93"/>
    <mergeCell ref="N93:O93"/>
    <mergeCell ref="L3:M3"/>
    <mergeCell ref="N3:O3"/>
    <mergeCell ref="L21:M21"/>
    <mergeCell ref="N21:O21"/>
    <mergeCell ref="L39:M39"/>
    <mergeCell ref="N39:O39"/>
    <mergeCell ref="C58:D58"/>
    <mergeCell ref="E58:F58"/>
    <mergeCell ref="C76:D76"/>
    <mergeCell ref="E76:F76"/>
    <mergeCell ref="C93:D93"/>
    <mergeCell ref="E93:F93"/>
    <mergeCell ref="C3:D3"/>
    <mergeCell ref="E3:F3"/>
    <mergeCell ref="C21:D21"/>
    <mergeCell ref="E21:F21"/>
    <mergeCell ref="C39:D39"/>
    <mergeCell ref="E39:F39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D6F611-8935-4E80-9462-E8C726428CA2}">
  <sheetPr>
    <tabColor theme="8" tint="-0.249977111117893"/>
  </sheetPr>
  <dimension ref="A1"/>
  <sheetViews>
    <sheetView workbookViewId="0">
      <selection activeCell="Q29" sqref="Q29"/>
    </sheetView>
  </sheetViews>
  <sheetFormatPr baseColWidth="10" defaultRowHeight="15"/>
  <sheetData/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C9EE24-EA9C-40D7-A0F9-5CFC3FBD624A}">
  <sheetPr>
    <pageSetUpPr fitToPage="1"/>
  </sheetPr>
  <dimension ref="A2:K30"/>
  <sheetViews>
    <sheetView showGridLines="0" tabSelected="1" workbookViewId="0">
      <selection activeCell="B2" sqref="B2:E30"/>
    </sheetView>
  </sheetViews>
  <sheetFormatPr baseColWidth="10" defaultRowHeight="15"/>
  <cols>
    <col min="2" max="2" width="56.28515625" bestFit="1" customWidth="1"/>
    <col min="3" max="4" width="14.28515625" style="153" bestFit="1" customWidth="1"/>
    <col min="5" max="5" width="56.28515625" bestFit="1" customWidth="1"/>
    <col min="9" max="9" width="78" bestFit="1" customWidth="1"/>
  </cols>
  <sheetData>
    <row r="2" spans="1:8">
      <c r="C2" s="177" t="s">
        <v>87</v>
      </c>
      <c r="D2" s="177" t="s">
        <v>115</v>
      </c>
    </row>
    <row r="3" spans="1:8" s="1" customFormat="1">
      <c r="B3" s="458" t="s">
        <v>481</v>
      </c>
      <c r="C3" s="459">
        <f>SUM(C4:C8)</f>
        <v>3115000</v>
      </c>
      <c r="D3" s="459">
        <f>SUM(D4:D8)</f>
        <v>0</v>
      </c>
      <c r="E3" s="458"/>
    </row>
    <row r="4" spans="1:8">
      <c r="B4" t="s">
        <v>482</v>
      </c>
      <c r="C4" s="413">
        <v>3000000</v>
      </c>
      <c r="D4" s="413"/>
    </row>
    <row r="5" spans="1:8">
      <c r="B5" t="s">
        <v>483</v>
      </c>
      <c r="C5" s="413"/>
      <c r="D5" s="413"/>
    </row>
    <row r="6" spans="1:8">
      <c r="B6" t="s">
        <v>484</v>
      </c>
      <c r="C6" s="413"/>
      <c r="D6" s="413"/>
    </row>
    <row r="7" spans="1:8">
      <c r="B7" t="s">
        <v>485</v>
      </c>
      <c r="C7" s="413"/>
      <c r="D7" s="413"/>
    </row>
    <row r="8" spans="1:8">
      <c r="B8" t="s">
        <v>486</v>
      </c>
      <c r="C8" s="153">
        <v>115000</v>
      </c>
    </row>
    <row r="11" spans="1:8" s="1" customFormat="1">
      <c r="B11" s="458" t="s">
        <v>487</v>
      </c>
      <c r="C11" s="459">
        <f>SUM(C24+C23+C22+C18+C17+C16+C15+C13+C14+C12)</f>
        <v>4498364.33</v>
      </c>
      <c r="D11" s="459">
        <f>SUM(D12:D27)</f>
        <v>5532100</v>
      </c>
      <c r="E11" s="458"/>
    </row>
    <row r="12" spans="1:8">
      <c r="A12">
        <v>23</v>
      </c>
      <c r="B12" t="s">
        <v>488</v>
      </c>
      <c r="C12" s="208">
        <v>48654</v>
      </c>
      <c r="F12" s="66"/>
      <c r="G12" s="37"/>
      <c r="H12" s="37"/>
    </row>
    <row r="13" spans="1:8">
      <c r="A13">
        <v>23</v>
      </c>
      <c r="B13" t="s">
        <v>489</v>
      </c>
      <c r="C13" s="208">
        <v>258031.92</v>
      </c>
      <c r="F13" s="66"/>
      <c r="G13" s="113"/>
      <c r="H13" s="37"/>
    </row>
    <row r="14" spans="1:8">
      <c r="A14">
        <v>23</v>
      </c>
      <c r="B14" t="s">
        <v>490</v>
      </c>
      <c r="C14" s="208">
        <v>79218</v>
      </c>
      <c r="F14" s="66"/>
      <c r="G14" s="37"/>
      <c r="H14" s="37"/>
    </row>
    <row r="15" spans="1:8">
      <c r="A15">
        <v>23</v>
      </c>
      <c r="B15" t="s">
        <v>491</v>
      </c>
      <c r="C15" s="208">
        <v>292812.86</v>
      </c>
      <c r="F15" s="66"/>
      <c r="G15" s="37"/>
      <c r="H15" s="37"/>
    </row>
    <row r="16" spans="1:8">
      <c r="A16">
        <v>23</v>
      </c>
      <c r="B16" t="s">
        <v>533</v>
      </c>
      <c r="C16" s="208">
        <v>105842.68</v>
      </c>
      <c r="D16" s="153">
        <v>42349</v>
      </c>
      <c r="E16" s="13" t="s">
        <v>528</v>
      </c>
      <c r="F16" s="66"/>
      <c r="G16" s="37"/>
      <c r="H16" s="37"/>
    </row>
    <row r="17" spans="1:11">
      <c r="A17">
        <v>21</v>
      </c>
      <c r="B17" t="s">
        <v>492</v>
      </c>
      <c r="C17" s="208">
        <v>40000</v>
      </c>
      <c r="D17" s="153">
        <v>40000</v>
      </c>
      <c r="E17" t="s">
        <v>532</v>
      </c>
      <c r="F17" s="66"/>
      <c r="G17" s="37"/>
      <c r="H17" s="37"/>
    </row>
    <row r="18" spans="1:11">
      <c r="B18" t="s">
        <v>506</v>
      </c>
      <c r="C18" s="257">
        <f>+C19+C20+C21</f>
        <v>497500</v>
      </c>
      <c r="D18" s="181">
        <f>SUM(C19:C21)</f>
        <v>497500</v>
      </c>
      <c r="E18" t="s">
        <v>564</v>
      </c>
      <c r="F18" s="66"/>
      <c r="G18" s="37"/>
      <c r="H18" s="154"/>
      <c r="I18" s="153"/>
      <c r="J18" s="153"/>
      <c r="K18" s="37"/>
    </row>
    <row r="19" spans="1:11">
      <c r="A19">
        <v>13</v>
      </c>
      <c r="B19" s="191" t="s">
        <v>524</v>
      </c>
      <c r="C19" s="258">
        <f>9*29750</f>
        <v>267750</v>
      </c>
      <c r="F19" s="66"/>
      <c r="G19" s="37"/>
      <c r="H19" s="154"/>
      <c r="I19" s="153"/>
      <c r="J19" s="153"/>
      <c r="K19" s="37"/>
    </row>
    <row r="20" spans="1:11">
      <c r="A20">
        <v>13</v>
      </c>
      <c r="B20" s="191" t="s">
        <v>508</v>
      </c>
      <c r="C20" s="258">
        <v>29750</v>
      </c>
      <c r="D20"/>
      <c r="G20" s="37"/>
      <c r="H20" s="154"/>
      <c r="I20" s="153"/>
      <c r="J20" s="153"/>
      <c r="K20" s="37"/>
    </row>
    <row r="21" spans="1:11">
      <c r="A21">
        <v>20</v>
      </c>
      <c r="B21" s="191" t="s">
        <v>509</v>
      </c>
      <c r="C21" s="258">
        <v>200000</v>
      </c>
      <c r="D21"/>
      <c r="F21" s="66"/>
      <c r="G21" s="37"/>
      <c r="H21" s="154"/>
      <c r="I21" s="153"/>
      <c r="J21" s="153"/>
      <c r="K21" s="37"/>
    </row>
    <row r="22" spans="1:11">
      <c r="A22">
        <v>20</v>
      </c>
      <c r="B22" t="s">
        <v>493</v>
      </c>
      <c r="C22" s="208">
        <v>55000</v>
      </c>
      <c r="D22" s="153">
        <v>55000</v>
      </c>
      <c r="E22" t="s">
        <v>494</v>
      </c>
      <c r="F22" s="66"/>
      <c r="G22" s="37"/>
      <c r="H22" s="154"/>
      <c r="I22" s="153"/>
      <c r="J22" s="153"/>
      <c r="K22" s="37"/>
    </row>
    <row r="23" spans="1:11">
      <c r="A23">
        <v>20</v>
      </c>
      <c r="B23" t="s">
        <v>526</v>
      </c>
      <c r="C23" s="208">
        <v>20000</v>
      </c>
      <c r="F23" s="66"/>
      <c r="G23" s="37"/>
      <c r="H23" s="154"/>
      <c r="I23" s="153"/>
      <c r="J23" s="153"/>
      <c r="K23" s="37"/>
    </row>
    <row r="24" spans="1:11">
      <c r="B24" t="s">
        <v>510</v>
      </c>
      <c r="C24" s="153">
        <f>+Reports!N418</f>
        <v>3101304.87</v>
      </c>
      <c r="D24" s="153">
        <v>1112324</v>
      </c>
      <c r="E24" t="s">
        <v>495</v>
      </c>
    </row>
    <row r="25" spans="1:11">
      <c r="D25" s="153">
        <v>2000000</v>
      </c>
      <c r="E25" t="s">
        <v>529</v>
      </c>
    </row>
    <row r="26" spans="1:11">
      <c r="D26" s="153">
        <v>1760000</v>
      </c>
      <c r="E26" t="s">
        <v>530</v>
      </c>
    </row>
    <row r="27" spans="1:11">
      <c r="D27" s="153">
        <v>24927</v>
      </c>
      <c r="E27" t="s">
        <v>531</v>
      </c>
    </row>
    <row r="28" spans="1:11">
      <c r="B28" s="460" t="s">
        <v>527</v>
      </c>
      <c r="C28" s="461">
        <f>+C11+C3</f>
        <v>7613364.3300000001</v>
      </c>
      <c r="D28" s="461">
        <f>+D11+D3</f>
        <v>5532100</v>
      </c>
      <c r="E28" s="460"/>
    </row>
    <row r="29" spans="1:11">
      <c r="A29">
        <v>16</v>
      </c>
      <c r="B29" t="s">
        <v>589</v>
      </c>
      <c r="C29" s="153">
        <v>3890948.0599999996</v>
      </c>
    </row>
    <row r="30" spans="1:11">
      <c r="B30" s="460" t="s">
        <v>1191</v>
      </c>
      <c r="C30" s="461">
        <f>+C29+C28</f>
        <v>11504312.390000001</v>
      </c>
      <c r="D30" s="461">
        <f>+D28</f>
        <v>5532100</v>
      </c>
      <c r="E30" s="460" t="s">
        <v>1192</v>
      </c>
    </row>
  </sheetData>
  <mergeCells count="2">
    <mergeCell ref="C4:C7"/>
    <mergeCell ref="D4:D7"/>
  </mergeCells>
  <pageMargins left="0.70866141732283472" right="0.70866141732283472" top="0.74803149606299213" bottom="0.74803149606299213" header="0.31496062992125984" footer="0.31496062992125984"/>
  <pageSetup paperSize="9" scale="92" orientation="landscape" r:id="rId1"/>
  <legacy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A09199-3BA2-469D-8211-F6B389495E6B}">
  <dimension ref="A3:E17"/>
  <sheetViews>
    <sheetView showGridLines="0" workbookViewId="0">
      <selection activeCell="A14" sqref="A14"/>
    </sheetView>
  </sheetViews>
  <sheetFormatPr baseColWidth="10" defaultRowHeight="15"/>
  <cols>
    <col min="1" max="1" width="33" bestFit="1" customWidth="1"/>
    <col min="2" max="2" width="56.85546875" bestFit="1" customWidth="1"/>
    <col min="3" max="3" width="12.85546875" bestFit="1" customWidth="1"/>
  </cols>
  <sheetData>
    <row r="3" spans="1:5">
      <c r="B3" s="182" t="s">
        <v>506</v>
      </c>
      <c r="C3" s="182"/>
      <c r="D3">
        <v>2025</v>
      </c>
      <c r="E3">
        <v>2026</v>
      </c>
    </row>
    <row r="5" spans="1:5">
      <c r="B5" s="178" t="s">
        <v>511</v>
      </c>
      <c r="C5" s="183">
        <f>SUM(C6:C8)</f>
        <v>446250</v>
      </c>
      <c r="D5" s="183">
        <f>SUM(D6:D8)</f>
        <v>446250</v>
      </c>
      <c r="E5" s="183">
        <f>SUM(E6:E8)</f>
        <v>0</v>
      </c>
    </row>
    <row r="6" spans="1:5">
      <c r="A6" t="s">
        <v>512</v>
      </c>
      <c r="B6" s="180" t="s">
        <v>507</v>
      </c>
      <c r="C6" s="153">
        <f>9*29750</f>
        <v>267750</v>
      </c>
      <c r="D6" s="153">
        <f>9*29750</f>
        <v>267750</v>
      </c>
      <c r="E6" s="153"/>
    </row>
    <row r="7" spans="1:5">
      <c r="A7" t="s">
        <v>512</v>
      </c>
      <c r="B7" s="180" t="s">
        <v>508</v>
      </c>
      <c r="C7" s="153">
        <v>29750</v>
      </c>
      <c r="D7" s="153">
        <v>29750</v>
      </c>
      <c r="E7" s="153"/>
    </row>
    <row r="8" spans="1:5">
      <c r="A8" t="s">
        <v>513</v>
      </c>
      <c r="B8" s="180" t="s">
        <v>509</v>
      </c>
      <c r="C8" s="153">
        <f>29750*5</f>
        <v>148750</v>
      </c>
      <c r="D8" s="153">
        <f>29750*5</f>
        <v>148750</v>
      </c>
      <c r="E8" s="153"/>
    </row>
    <row r="10" spans="1:5">
      <c r="B10" s="178" t="s">
        <v>514</v>
      </c>
      <c r="C10" s="179">
        <f>SUM(C11:C14)</f>
        <v>167500</v>
      </c>
      <c r="D10" s="179">
        <f>SUM(D11:D14)</f>
        <v>157800</v>
      </c>
      <c r="E10" s="179">
        <f>SUM(E11:E14)</f>
        <v>24460</v>
      </c>
    </row>
    <row r="11" spans="1:5">
      <c r="A11" t="s">
        <v>515</v>
      </c>
      <c r="B11" s="180" t="s">
        <v>516</v>
      </c>
      <c r="C11" s="153">
        <f>3500*9</f>
        <v>31500</v>
      </c>
      <c r="D11" s="153">
        <f>3500*9</f>
        <v>31500</v>
      </c>
      <c r="E11" s="153"/>
    </row>
    <row r="12" spans="1:5">
      <c r="A12" t="s">
        <v>517</v>
      </c>
      <c r="B12" s="180" t="s">
        <v>518</v>
      </c>
      <c r="C12" s="153">
        <f>4730*12+11740</f>
        <v>68500</v>
      </c>
      <c r="D12" s="153">
        <f>4730*10+11500</f>
        <v>58800</v>
      </c>
      <c r="E12" s="153">
        <f>4730*2</f>
        <v>9460</v>
      </c>
    </row>
    <row r="13" spans="1:5">
      <c r="A13" t="s">
        <v>519</v>
      </c>
      <c r="B13" s="180" t="s">
        <v>520</v>
      </c>
      <c r="C13" s="153">
        <f>15*3500</f>
        <v>52500</v>
      </c>
      <c r="D13" s="153">
        <f>15*3500</f>
        <v>52500</v>
      </c>
      <c r="E13" s="153"/>
    </row>
    <row r="14" spans="1:5">
      <c r="A14" t="s">
        <v>519</v>
      </c>
      <c r="B14" s="180" t="s">
        <v>521</v>
      </c>
      <c r="C14" s="153">
        <v>15000</v>
      </c>
      <c r="D14" s="153">
        <v>15000</v>
      </c>
      <c r="E14" s="153">
        <v>15000</v>
      </c>
    </row>
    <row r="16" spans="1:5">
      <c r="B16" s="184" t="s">
        <v>522</v>
      </c>
      <c r="C16" s="185">
        <f>+C10+C5</f>
        <v>613750</v>
      </c>
      <c r="D16" s="185">
        <f>+D10+D5</f>
        <v>604050</v>
      </c>
      <c r="E16" s="185">
        <f>+E10+E5</f>
        <v>24460</v>
      </c>
    </row>
    <row r="17" spans="3:3">
      <c r="C17" s="35"/>
    </row>
  </sheetData>
  <pageMargins left="0.7" right="0.7" top="0.75" bottom="0.75" header="0.3" footer="0.3"/>
  <pageSetup paperSize="9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FA2B2A-E8AA-44F3-BAFC-361615151E09}">
  <dimension ref="B3:F29"/>
  <sheetViews>
    <sheetView workbookViewId="0">
      <selection activeCell="B29" sqref="B29:E29"/>
    </sheetView>
  </sheetViews>
  <sheetFormatPr baseColWidth="10" defaultColWidth="11.42578125" defaultRowHeight="15"/>
  <cols>
    <col min="1" max="1" width="11.42578125" style="193"/>
    <col min="2" max="2" width="63.28515625" style="193" customWidth="1"/>
    <col min="3" max="4" width="11.85546875" style="193" bestFit="1" customWidth="1"/>
    <col min="5" max="6" width="12.85546875" style="193" bestFit="1" customWidth="1"/>
    <col min="7" max="16384" width="11.42578125" style="193"/>
  </cols>
  <sheetData>
    <row r="3" spans="2:4" ht="30">
      <c r="B3" s="194" t="s">
        <v>534</v>
      </c>
      <c r="C3" s="192"/>
    </row>
    <row r="4" spans="2:4">
      <c r="B4" s="195" t="s">
        <v>535</v>
      </c>
      <c r="C4" s="197" t="s">
        <v>536</v>
      </c>
    </row>
    <row r="5" spans="2:4">
      <c r="B5" s="195" t="s">
        <v>537</v>
      </c>
      <c r="C5" s="197" t="s">
        <v>538</v>
      </c>
    </row>
    <row r="6" spans="2:4">
      <c r="B6" s="195" t="s">
        <v>539</v>
      </c>
      <c r="C6" s="197" t="s">
        <v>547</v>
      </c>
      <c r="D6" s="193" t="s">
        <v>548</v>
      </c>
    </row>
    <row r="7" spans="2:4">
      <c r="B7" s="195" t="s">
        <v>539</v>
      </c>
      <c r="C7" s="197" t="s">
        <v>549</v>
      </c>
      <c r="D7" s="193" t="s">
        <v>550</v>
      </c>
    </row>
    <row r="8" spans="2:4">
      <c r="B8" s="195" t="s">
        <v>540</v>
      </c>
      <c r="C8" s="197" t="s">
        <v>551</v>
      </c>
      <c r="D8" s="193" t="s">
        <v>552</v>
      </c>
    </row>
    <row r="9" spans="2:4">
      <c r="B9" s="195" t="s">
        <v>541</v>
      </c>
      <c r="C9" s="197" t="s">
        <v>542</v>
      </c>
    </row>
    <row r="10" spans="2:4">
      <c r="B10" s="195" t="s">
        <v>543</v>
      </c>
      <c r="C10" s="197" t="s">
        <v>544</v>
      </c>
    </row>
    <row r="11" spans="2:4">
      <c r="B11" s="194" t="s">
        <v>553</v>
      </c>
      <c r="C11" s="192"/>
    </row>
    <row r="12" spans="2:4" ht="30">
      <c r="B12" s="195" t="s">
        <v>545</v>
      </c>
      <c r="C12" s="192"/>
    </row>
    <row r="13" spans="2:4">
      <c r="B13" s="196" t="s">
        <v>562</v>
      </c>
      <c r="C13" s="192"/>
    </row>
    <row r="14" spans="2:4">
      <c r="B14" s="195" t="s">
        <v>546</v>
      </c>
      <c r="C14" s="192"/>
    </row>
    <row r="15" spans="2:4">
      <c r="B15" s="196" t="s">
        <v>563</v>
      </c>
      <c r="C15" s="192"/>
    </row>
    <row r="18" spans="2:6">
      <c r="C18" s="204">
        <v>2024</v>
      </c>
      <c r="D18" s="204">
        <v>2025</v>
      </c>
      <c r="E18" s="204">
        <v>2026</v>
      </c>
      <c r="F18" s="212" t="s">
        <v>121</v>
      </c>
    </row>
    <row r="19" spans="2:6">
      <c r="B19" s="201" t="s">
        <v>555</v>
      </c>
      <c r="C19" s="205">
        <v>23000</v>
      </c>
      <c r="D19" s="205"/>
      <c r="E19" s="205"/>
      <c r="F19" s="213">
        <f>SUM(C19:E19)</f>
        <v>23000</v>
      </c>
    </row>
    <row r="20" spans="2:6">
      <c r="B20" s="202" t="s">
        <v>554</v>
      </c>
      <c r="C20" s="206"/>
      <c r="D20" s="206">
        <v>60000</v>
      </c>
      <c r="E20" s="206"/>
      <c r="F20" s="214">
        <f t="shared" ref="F20:F21" si="0">SUM(C20:E20)</f>
        <v>60000</v>
      </c>
    </row>
    <row r="21" spans="2:6">
      <c r="B21" s="203" t="s">
        <v>556</v>
      </c>
      <c r="C21" s="207"/>
      <c r="D21" s="207"/>
      <c r="E21" s="207">
        <f>930000-60000-23000</f>
        <v>847000</v>
      </c>
      <c r="F21" s="215">
        <f t="shared" si="0"/>
        <v>847000</v>
      </c>
    </row>
    <row r="22" spans="2:6">
      <c r="C22" s="208"/>
      <c r="D22" s="208"/>
      <c r="E22" s="208"/>
      <c r="F22" s="216"/>
    </row>
    <row r="23" spans="2:6">
      <c r="B23" s="198" t="s">
        <v>557</v>
      </c>
      <c r="C23" s="209">
        <v>23000</v>
      </c>
      <c r="D23" s="209"/>
      <c r="E23" s="209"/>
      <c r="F23" s="217">
        <f t="shared" ref="F23:F27" si="1">SUM(C23:E23)</f>
        <v>23000</v>
      </c>
    </row>
    <row r="24" spans="2:6">
      <c r="B24" s="199" t="s">
        <v>557</v>
      </c>
      <c r="C24" s="210"/>
      <c r="D24" s="210">
        <v>30000</v>
      </c>
      <c r="E24" s="210"/>
      <c r="F24" s="218">
        <f t="shared" si="1"/>
        <v>30000</v>
      </c>
    </row>
    <row r="25" spans="2:6">
      <c r="B25" s="199" t="s">
        <v>558</v>
      </c>
      <c r="C25" s="210"/>
      <c r="D25" s="210"/>
      <c r="E25" s="210">
        <v>200000</v>
      </c>
      <c r="F25" s="218">
        <f t="shared" si="1"/>
        <v>200000</v>
      </c>
    </row>
    <row r="26" spans="2:6">
      <c r="B26" s="199" t="s">
        <v>559</v>
      </c>
      <c r="C26" s="210"/>
      <c r="D26" s="210"/>
      <c r="E26" s="210">
        <v>280000</v>
      </c>
      <c r="F26" s="218">
        <f t="shared" si="1"/>
        <v>280000</v>
      </c>
    </row>
    <row r="27" spans="2:6">
      <c r="B27" s="200" t="s">
        <v>560</v>
      </c>
      <c r="C27" s="211"/>
      <c r="D27" s="211"/>
      <c r="E27" s="211">
        <v>10000</v>
      </c>
      <c r="F27" s="219">
        <f t="shared" si="1"/>
        <v>10000</v>
      </c>
    </row>
    <row r="28" spans="2:6">
      <c r="C28" s="208"/>
      <c r="D28" s="208"/>
      <c r="E28" s="208"/>
      <c r="F28" s="216"/>
    </row>
    <row r="29" spans="2:6">
      <c r="B29" s="221" t="s">
        <v>561</v>
      </c>
      <c r="C29" s="220">
        <v>0</v>
      </c>
      <c r="D29" s="220">
        <v>30000</v>
      </c>
      <c r="E29" s="220">
        <f>+E21-E25-E26-E27</f>
        <v>357000</v>
      </c>
      <c r="F29" s="220">
        <f>SUM(C29:E29)</f>
        <v>387000</v>
      </c>
    </row>
  </sheetData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B3A7A0-783A-4186-99AD-AF18E2649ADE}">
  <dimension ref="A1:R418"/>
  <sheetViews>
    <sheetView topLeftCell="A382" workbookViewId="0">
      <selection activeCell="N418" sqref="N418"/>
    </sheetView>
  </sheetViews>
  <sheetFormatPr baseColWidth="10" defaultColWidth="8" defaultRowHeight="12.75"/>
  <cols>
    <col min="1" max="1" width="11.42578125" style="259" customWidth="1"/>
    <col min="2" max="2" width="4.5703125" style="259" customWidth="1"/>
    <col min="3" max="3" width="21.28515625" style="259" customWidth="1"/>
    <col min="4" max="4" width="9.85546875" style="259" customWidth="1"/>
    <col min="5" max="5" width="4.5703125" style="259" customWidth="1"/>
    <col min="6" max="6" width="5.7109375" style="259" customWidth="1"/>
    <col min="7" max="7" width="5" style="259" customWidth="1"/>
    <col min="8" max="8" width="11.28515625" style="259" customWidth="1"/>
    <col min="9" max="9" width="13" style="259" customWidth="1"/>
    <col min="10" max="10" width="12" style="259" customWidth="1"/>
    <col min="11" max="11" width="5.85546875" style="259" customWidth="1"/>
    <col min="12" max="13" width="10.140625" style="259" customWidth="1"/>
    <col min="14" max="14" width="24" style="259" customWidth="1"/>
    <col min="15" max="16" width="9" style="259" customWidth="1"/>
    <col min="17" max="17" width="6.42578125" style="259" customWidth="1"/>
    <col min="18" max="18" width="2.28515625" style="259" customWidth="1"/>
    <col min="19" max="16384" width="8" style="259"/>
  </cols>
  <sheetData>
    <row r="1" spans="1:18" ht="51" customHeight="1">
      <c r="A1" s="414" t="s">
        <v>590</v>
      </c>
      <c r="B1" s="415"/>
      <c r="C1" s="415"/>
      <c r="D1" s="415"/>
      <c r="E1" s="415"/>
      <c r="F1" s="415"/>
      <c r="G1" s="415"/>
      <c r="H1" s="415"/>
      <c r="I1" s="415"/>
      <c r="J1" s="415"/>
      <c r="K1" s="415"/>
      <c r="L1" s="415"/>
      <c r="M1" s="415"/>
      <c r="N1" s="415"/>
      <c r="O1" s="415"/>
      <c r="P1" s="415"/>
      <c r="Q1" s="416"/>
    </row>
    <row r="2" spans="1:18" ht="41.25" customHeight="1">
      <c r="A2" s="417" t="s">
        <v>591</v>
      </c>
      <c r="B2" s="417"/>
      <c r="C2" s="417"/>
      <c r="D2" s="417"/>
      <c r="E2" s="417"/>
      <c r="F2" s="417"/>
      <c r="G2" s="417"/>
      <c r="H2" s="417"/>
      <c r="I2" s="417"/>
      <c r="J2" s="417"/>
      <c r="K2" s="417"/>
      <c r="L2" s="417"/>
      <c r="M2" s="417"/>
      <c r="N2" s="417"/>
      <c r="O2" s="417"/>
      <c r="P2" s="417"/>
      <c r="Q2" s="417"/>
      <c r="R2" s="417"/>
    </row>
    <row r="3" spans="1:18" ht="17.100000000000001" customHeight="1">
      <c r="A3" s="418" t="s">
        <v>592</v>
      </c>
      <c r="B3" s="418" t="s">
        <v>593</v>
      </c>
      <c r="C3" s="418" t="s">
        <v>594</v>
      </c>
      <c r="D3" s="420" t="s">
        <v>595</v>
      </c>
      <c r="E3" s="421"/>
      <c r="F3" s="418" t="s">
        <v>596</v>
      </c>
      <c r="G3" s="418" t="s">
        <v>597</v>
      </c>
      <c r="H3" s="420" t="s">
        <v>598</v>
      </c>
      <c r="I3" s="421"/>
      <c r="J3" s="418" t="s">
        <v>599</v>
      </c>
      <c r="K3" s="418" t="s">
        <v>600</v>
      </c>
      <c r="L3" s="418" t="s">
        <v>601</v>
      </c>
      <c r="M3" s="418" t="s">
        <v>602</v>
      </c>
      <c r="N3" s="418" t="s">
        <v>603</v>
      </c>
      <c r="O3" s="418" t="s">
        <v>604</v>
      </c>
      <c r="P3" s="418" t="s">
        <v>605</v>
      </c>
      <c r="Q3" s="418" t="s">
        <v>606</v>
      </c>
    </row>
    <row r="4" spans="1:18" ht="17.100000000000001" customHeight="1">
      <c r="A4" s="419"/>
      <c r="B4" s="419"/>
      <c r="C4" s="419"/>
      <c r="D4" s="260" t="s">
        <v>607</v>
      </c>
      <c r="E4" s="260" t="s">
        <v>608</v>
      </c>
      <c r="F4" s="419"/>
      <c r="G4" s="419"/>
      <c r="H4" s="260" t="s">
        <v>607</v>
      </c>
      <c r="I4" s="260" t="s">
        <v>609</v>
      </c>
      <c r="J4" s="419"/>
      <c r="K4" s="419"/>
      <c r="L4" s="419"/>
      <c r="M4" s="419"/>
      <c r="N4" s="419"/>
      <c r="O4" s="419"/>
      <c r="P4" s="419"/>
      <c r="Q4" s="419"/>
    </row>
    <row r="5" spans="1:18" ht="14.1" customHeight="1">
      <c r="A5" s="261" t="s">
        <v>610</v>
      </c>
      <c r="B5" s="262"/>
      <c r="C5" s="263" t="s">
        <v>611</v>
      </c>
      <c r="D5" s="264">
        <v>180043</v>
      </c>
      <c r="E5" s="264">
        <v>0</v>
      </c>
      <c r="F5" s="264">
        <v>1903</v>
      </c>
      <c r="G5" s="261" t="s">
        <v>612</v>
      </c>
      <c r="H5" s="262"/>
      <c r="I5" s="262"/>
      <c r="J5" s="265">
        <v>238256</v>
      </c>
      <c r="K5" s="262"/>
      <c r="L5" s="266">
        <v>1</v>
      </c>
      <c r="M5" s="266">
        <v>0.66400000000000003</v>
      </c>
      <c r="N5" s="267">
        <v>41760.230000000003</v>
      </c>
      <c r="O5" s="268">
        <v>45658</v>
      </c>
      <c r="P5" s="262"/>
      <c r="Q5" s="262"/>
    </row>
    <row r="6" spans="1:18" ht="14.1" customHeight="1">
      <c r="A6" s="261" t="s">
        <v>613</v>
      </c>
      <c r="B6" s="262"/>
      <c r="C6" s="263" t="s">
        <v>611</v>
      </c>
      <c r="D6" s="264">
        <v>180043</v>
      </c>
      <c r="E6" s="264">
        <v>0</v>
      </c>
      <c r="F6" s="264">
        <v>1903</v>
      </c>
      <c r="G6" s="261" t="s">
        <v>612</v>
      </c>
      <c r="H6" s="262"/>
      <c r="I6" s="262"/>
      <c r="J6" s="265">
        <v>238256</v>
      </c>
      <c r="K6" s="262"/>
      <c r="L6" s="266">
        <v>1</v>
      </c>
      <c r="M6" s="266">
        <v>0.25</v>
      </c>
      <c r="N6" s="267">
        <v>1410</v>
      </c>
      <c r="O6" s="268">
        <v>45658</v>
      </c>
      <c r="P6" s="262"/>
      <c r="Q6" s="262"/>
    </row>
    <row r="7" spans="1:18" ht="14.1" customHeight="1">
      <c r="A7" s="261" t="s">
        <v>614</v>
      </c>
      <c r="B7" s="262"/>
      <c r="C7" s="263" t="s">
        <v>611</v>
      </c>
      <c r="D7" s="264">
        <v>180043</v>
      </c>
      <c r="E7" s="264">
        <v>0</v>
      </c>
      <c r="F7" s="264">
        <v>1903</v>
      </c>
      <c r="G7" s="261" t="s">
        <v>612</v>
      </c>
      <c r="H7" s="262"/>
      <c r="I7" s="262"/>
      <c r="J7" s="265">
        <v>238256</v>
      </c>
      <c r="K7" s="262"/>
      <c r="L7" s="266">
        <v>1</v>
      </c>
      <c r="M7" s="266">
        <v>1</v>
      </c>
      <c r="N7" s="267">
        <v>16440</v>
      </c>
      <c r="O7" s="268">
        <v>45658</v>
      </c>
      <c r="P7" s="262"/>
      <c r="Q7" s="262"/>
    </row>
    <row r="8" spans="1:18" ht="14.1" customHeight="1">
      <c r="A8" s="261" t="s">
        <v>615</v>
      </c>
      <c r="B8" s="262"/>
      <c r="C8" s="263" t="s">
        <v>616</v>
      </c>
      <c r="D8" s="264">
        <v>250000</v>
      </c>
      <c r="E8" s="264">
        <v>0</v>
      </c>
      <c r="F8" s="269">
        <v>201</v>
      </c>
      <c r="G8" s="261" t="s">
        <v>617</v>
      </c>
      <c r="H8" s="262"/>
      <c r="I8" s="262"/>
      <c r="J8" s="265">
        <v>2051</v>
      </c>
      <c r="K8" s="270">
        <v>36087</v>
      </c>
      <c r="L8" s="266">
        <v>1</v>
      </c>
      <c r="M8" s="266">
        <v>1</v>
      </c>
      <c r="N8" s="267">
        <v>8400</v>
      </c>
      <c r="O8" s="268">
        <v>45658</v>
      </c>
      <c r="P8" s="262"/>
      <c r="Q8" s="262"/>
    </row>
    <row r="9" spans="1:18" ht="14.1" customHeight="1">
      <c r="A9" s="261" t="s">
        <v>618</v>
      </c>
      <c r="B9" s="262"/>
      <c r="C9" s="263" t="s">
        <v>616</v>
      </c>
      <c r="D9" s="264">
        <v>250000</v>
      </c>
      <c r="E9" s="264">
        <v>0</v>
      </c>
      <c r="F9" s="269">
        <v>201</v>
      </c>
      <c r="G9" s="261" t="s">
        <v>617</v>
      </c>
      <c r="H9" s="262"/>
      <c r="I9" s="262"/>
      <c r="J9" s="265">
        <v>2051</v>
      </c>
      <c r="K9" s="270">
        <v>36087</v>
      </c>
      <c r="L9" s="266">
        <v>1</v>
      </c>
      <c r="M9" s="266">
        <v>1</v>
      </c>
      <c r="N9" s="267">
        <v>2400</v>
      </c>
      <c r="O9" s="268">
        <v>45658</v>
      </c>
      <c r="P9" s="262"/>
      <c r="Q9" s="262"/>
    </row>
    <row r="10" spans="1:18" ht="14.1" customHeight="1">
      <c r="A10" s="261" t="s">
        <v>619</v>
      </c>
      <c r="B10" s="262"/>
      <c r="C10" s="263" t="s">
        <v>616</v>
      </c>
      <c r="D10" s="264">
        <v>250000</v>
      </c>
      <c r="E10" s="264">
        <v>0</v>
      </c>
      <c r="F10" s="269">
        <v>201</v>
      </c>
      <c r="G10" s="261" t="s">
        <v>617</v>
      </c>
      <c r="H10" s="262"/>
      <c r="I10" s="262"/>
      <c r="J10" s="265">
        <v>2051</v>
      </c>
      <c r="K10" s="270">
        <v>36087</v>
      </c>
      <c r="L10" s="266">
        <v>1</v>
      </c>
      <c r="M10" s="266">
        <v>1</v>
      </c>
      <c r="N10" s="271">
        <v>900</v>
      </c>
      <c r="O10" s="268">
        <v>45658</v>
      </c>
      <c r="P10" s="262"/>
      <c r="Q10" s="262"/>
    </row>
    <row r="11" spans="1:18" ht="14.1" customHeight="1">
      <c r="A11" s="261" t="s">
        <v>620</v>
      </c>
      <c r="B11" s="262"/>
      <c r="C11" s="263" t="s">
        <v>616</v>
      </c>
      <c r="D11" s="264">
        <v>250000</v>
      </c>
      <c r="E11" s="264">
        <v>0</v>
      </c>
      <c r="F11" s="269">
        <v>201</v>
      </c>
      <c r="G11" s="261" t="s">
        <v>617</v>
      </c>
      <c r="H11" s="262"/>
      <c r="I11" s="262"/>
      <c r="J11" s="265">
        <v>2051</v>
      </c>
      <c r="K11" s="270">
        <v>36087</v>
      </c>
      <c r="L11" s="266">
        <v>1</v>
      </c>
      <c r="M11" s="266">
        <v>1</v>
      </c>
      <c r="N11" s="271">
        <v>900</v>
      </c>
      <c r="O11" s="268">
        <v>45658</v>
      </c>
      <c r="P11" s="262"/>
      <c r="Q11" s="262"/>
    </row>
    <row r="12" spans="1:18" ht="14.1" customHeight="1">
      <c r="A12" s="261" t="s">
        <v>621</v>
      </c>
      <c r="B12" s="262"/>
      <c r="C12" s="263" t="s">
        <v>616</v>
      </c>
      <c r="D12" s="264">
        <v>250000</v>
      </c>
      <c r="E12" s="264">
        <v>0</v>
      </c>
      <c r="F12" s="269">
        <v>201</v>
      </c>
      <c r="G12" s="261" t="s">
        <v>617</v>
      </c>
      <c r="H12" s="262"/>
      <c r="I12" s="262"/>
      <c r="J12" s="265">
        <v>2051</v>
      </c>
      <c r="K12" s="270">
        <v>36087</v>
      </c>
      <c r="L12" s="266">
        <v>1</v>
      </c>
      <c r="M12" s="266">
        <v>1</v>
      </c>
      <c r="N12" s="267">
        <v>1140</v>
      </c>
      <c r="O12" s="268">
        <v>45658</v>
      </c>
      <c r="P12" s="262"/>
      <c r="Q12" s="262"/>
    </row>
    <row r="13" spans="1:18" ht="14.1" customHeight="1">
      <c r="A13" s="261" t="s">
        <v>622</v>
      </c>
      <c r="B13" s="262"/>
      <c r="C13" s="263" t="s">
        <v>616</v>
      </c>
      <c r="D13" s="264">
        <v>250000</v>
      </c>
      <c r="E13" s="264">
        <v>0</v>
      </c>
      <c r="F13" s="269">
        <v>201</v>
      </c>
      <c r="G13" s="261" t="s">
        <v>617</v>
      </c>
      <c r="H13" s="262"/>
      <c r="I13" s="262"/>
      <c r="J13" s="265">
        <v>2051</v>
      </c>
      <c r="K13" s="270">
        <v>36087</v>
      </c>
      <c r="L13" s="266">
        <v>1</v>
      </c>
      <c r="M13" s="266">
        <v>1</v>
      </c>
      <c r="N13" s="267">
        <v>1200</v>
      </c>
      <c r="O13" s="268">
        <v>45658</v>
      </c>
      <c r="P13" s="262"/>
      <c r="Q13" s="262"/>
    </row>
    <row r="14" spans="1:18" ht="14.1" customHeight="1">
      <c r="A14" s="261" t="s">
        <v>623</v>
      </c>
      <c r="B14" s="262"/>
      <c r="C14" s="263" t="s">
        <v>616</v>
      </c>
      <c r="D14" s="264">
        <v>250000</v>
      </c>
      <c r="E14" s="264">
        <v>0</v>
      </c>
      <c r="F14" s="269">
        <v>201</v>
      </c>
      <c r="G14" s="261" t="s">
        <v>617</v>
      </c>
      <c r="H14" s="262"/>
      <c r="I14" s="262"/>
      <c r="J14" s="265">
        <v>2051</v>
      </c>
      <c r="K14" s="270">
        <v>36087</v>
      </c>
      <c r="L14" s="266">
        <v>1</v>
      </c>
      <c r="M14" s="266">
        <v>1</v>
      </c>
      <c r="N14" s="271">
        <v>0</v>
      </c>
      <c r="O14" s="268">
        <v>45658</v>
      </c>
      <c r="P14" s="262"/>
      <c r="Q14" s="262"/>
    </row>
    <row r="15" spans="1:18" ht="14.1" customHeight="1">
      <c r="A15" s="261" t="s">
        <v>624</v>
      </c>
      <c r="B15" s="262"/>
      <c r="C15" s="263" t="s">
        <v>616</v>
      </c>
      <c r="D15" s="264">
        <v>250000</v>
      </c>
      <c r="E15" s="264">
        <v>0</v>
      </c>
      <c r="F15" s="269">
        <v>201</v>
      </c>
      <c r="G15" s="261" t="s">
        <v>617</v>
      </c>
      <c r="H15" s="262"/>
      <c r="I15" s="262"/>
      <c r="J15" s="265">
        <v>2051</v>
      </c>
      <c r="K15" s="270">
        <v>36087</v>
      </c>
      <c r="L15" s="266">
        <v>1</v>
      </c>
      <c r="M15" s="266">
        <v>0.66700000000000004</v>
      </c>
      <c r="N15" s="267">
        <v>1200.5999999999999</v>
      </c>
      <c r="O15" s="268">
        <v>45658</v>
      </c>
      <c r="P15" s="262"/>
      <c r="Q15" s="262"/>
    </row>
    <row r="16" spans="1:18" ht="14.1" customHeight="1">
      <c r="A16" s="261" t="s">
        <v>625</v>
      </c>
      <c r="B16" s="262"/>
      <c r="C16" s="263" t="s">
        <v>616</v>
      </c>
      <c r="D16" s="264">
        <v>250000</v>
      </c>
      <c r="E16" s="264">
        <v>0</v>
      </c>
      <c r="F16" s="269">
        <v>201</v>
      </c>
      <c r="G16" s="261" t="s">
        <v>617</v>
      </c>
      <c r="H16" s="262"/>
      <c r="I16" s="262"/>
      <c r="J16" s="265">
        <v>2051</v>
      </c>
      <c r="K16" s="270">
        <v>36087</v>
      </c>
      <c r="L16" s="266">
        <v>1</v>
      </c>
      <c r="M16" s="266">
        <v>1</v>
      </c>
      <c r="N16" s="271">
        <v>0</v>
      </c>
      <c r="O16" s="268">
        <v>45658</v>
      </c>
      <c r="P16" s="262"/>
      <c r="Q16" s="262"/>
    </row>
    <row r="17" spans="1:17" ht="14.1" customHeight="1">
      <c r="A17" s="261" t="s">
        <v>626</v>
      </c>
      <c r="B17" s="262"/>
      <c r="C17" s="263" t="s">
        <v>616</v>
      </c>
      <c r="D17" s="264">
        <v>250000</v>
      </c>
      <c r="E17" s="264">
        <v>0</v>
      </c>
      <c r="F17" s="269">
        <v>201</v>
      </c>
      <c r="G17" s="261" t="s">
        <v>617</v>
      </c>
      <c r="H17" s="262"/>
      <c r="I17" s="262"/>
      <c r="J17" s="265">
        <v>2051</v>
      </c>
      <c r="K17" s="270">
        <v>36087</v>
      </c>
      <c r="L17" s="266">
        <v>1</v>
      </c>
      <c r="M17" s="266">
        <v>1</v>
      </c>
      <c r="N17" s="267">
        <v>3600</v>
      </c>
      <c r="O17" s="268">
        <v>45658</v>
      </c>
      <c r="P17" s="262"/>
      <c r="Q17" s="262"/>
    </row>
    <row r="18" spans="1:17" ht="14.1" customHeight="1">
      <c r="A18" s="261" t="s">
        <v>627</v>
      </c>
      <c r="B18" s="262"/>
      <c r="C18" s="263" t="s">
        <v>616</v>
      </c>
      <c r="D18" s="264">
        <v>250000</v>
      </c>
      <c r="E18" s="264">
        <v>0</v>
      </c>
      <c r="F18" s="269">
        <v>201</v>
      </c>
      <c r="G18" s="261" t="s">
        <v>617</v>
      </c>
      <c r="H18" s="262"/>
      <c r="I18" s="262"/>
      <c r="J18" s="265">
        <v>2051</v>
      </c>
      <c r="K18" s="270">
        <v>36087</v>
      </c>
      <c r="L18" s="266">
        <v>1</v>
      </c>
      <c r="M18" s="266">
        <v>1</v>
      </c>
      <c r="N18" s="271">
        <v>600</v>
      </c>
      <c r="O18" s="268">
        <v>45658</v>
      </c>
      <c r="P18" s="262"/>
      <c r="Q18" s="262"/>
    </row>
    <row r="19" spans="1:17" ht="14.1" customHeight="1">
      <c r="A19" s="261" t="s">
        <v>628</v>
      </c>
      <c r="B19" s="262"/>
      <c r="C19" s="263" t="s">
        <v>616</v>
      </c>
      <c r="D19" s="264">
        <v>250000</v>
      </c>
      <c r="E19" s="264">
        <v>0</v>
      </c>
      <c r="F19" s="269">
        <v>201</v>
      </c>
      <c r="G19" s="261" t="s">
        <v>617</v>
      </c>
      <c r="H19" s="262"/>
      <c r="I19" s="262"/>
      <c r="J19" s="265">
        <v>2051</v>
      </c>
      <c r="K19" s="270">
        <v>36087</v>
      </c>
      <c r="L19" s="266">
        <v>1</v>
      </c>
      <c r="M19" s="266">
        <v>1</v>
      </c>
      <c r="N19" s="271">
        <v>300</v>
      </c>
      <c r="O19" s="268">
        <v>45658</v>
      </c>
      <c r="P19" s="262"/>
      <c r="Q19" s="262"/>
    </row>
    <row r="20" spans="1:17" ht="14.1" customHeight="1">
      <c r="A20" s="261" t="s">
        <v>629</v>
      </c>
      <c r="B20" s="262"/>
      <c r="C20" s="263" t="s">
        <v>616</v>
      </c>
      <c r="D20" s="264">
        <v>250000</v>
      </c>
      <c r="E20" s="264">
        <v>0</v>
      </c>
      <c r="F20" s="269">
        <v>201</v>
      </c>
      <c r="G20" s="261" t="s">
        <v>617</v>
      </c>
      <c r="H20" s="262"/>
      <c r="I20" s="262"/>
      <c r="J20" s="265">
        <v>2051</v>
      </c>
      <c r="K20" s="270">
        <v>36087</v>
      </c>
      <c r="L20" s="266">
        <v>5</v>
      </c>
      <c r="M20" s="266">
        <v>5</v>
      </c>
      <c r="N20" s="271">
        <v>912</v>
      </c>
      <c r="O20" s="268">
        <v>45658</v>
      </c>
      <c r="P20" s="262"/>
      <c r="Q20" s="262"/>
    </row>
    <row r="21" spans="1:17" ht="14.1" customHeight="1">
      <c r="A21" s="261" t="s">
        <v>630</v>
      </c>
      <c r="B21" s="262"/>
      <c r="C21" s="263" t="s">
        <v>631</v>
      </c>
      <c r="D21" s="263" t="s">
        <v>632</v>
      </c>
      <c r="E21" s="264">
        <v>0</v>
      </c>
      <c r="F21" s="269">
        <v>201</v>
      </c>
      <c r="G21" s="261" t="s">
        <v>612</v>
      </c>
      <c r="H21" s="262"/>
      <c r="I21" s="262"/>
      <c r="J21" s="265">
        <v>2051</v>
      </c>
      <c r="K21" s="270">
        <v>36087</v>
      </c>
      <c r="L21" s="266">
        <v>1</v>
      </c>
      <c r="M21" s="266">
        <v>0.12</v>
      </c>
      <c r="N21" s="267">
        <v>2430.65</v>
      </c>
      <c r="O21" s="268">
        <v>45658</v>
      </c>
      <c r="P21" s="262"/>
      <c r="Q21" s="262"/>
    </row>
    <row r="22" spans="1:17" ht="14.1" customHeight="1">
      <c r="A22" s="261" t="s">
        <v>633</v>
      </c>
      <c r="B22" s="262"/>
      <c r="C22" s="263" t="s">
        <v>631</v>
      </c>
      <c r="D22" s="263" t="s">
        <v>632</v>
      </c>
      <c r="E22" s="264">
        <v>0</v>
      </c>
      <c r="F22" s="269">
        <v>201</v>
      </c>
      <c r="G22" s="261" t="s">
        <v>612</v>
      </c>
      <c r="H22" s="262"/>
      <c r="I22" s="262"/>
      <c r="J22" s="265">
        <v>2051</v>
      </c>
      <c r="K22" s="270">
        <v>36087</v>
      </c>
      <c r="L22" s="266">
        <v>1</v>
      </c>
      <c r="M22" s="266">
        <v>0.26</v>
      </c>
      <c r="N22" s="267">
        <v>37551.800000000003</v>
      </c>
      <c r="O22" s="268">
        <v>45658</v>
      </c>
      <c r="P22" s="262"/>
      <c r="Q22" s="262"/>
    </row>
    <row r="23" spans="1:17" ht="14.1" customHeight="1">
      <c r="A23" s="261" t="s">
        <v>634</v>
      </c>
      <c r="B23" s="262"/>
      <c r="C23" s="263" t="s">
        <v>631</v>
      </c>
      <c r="D23" s="263" t="s">
        <v>632</v>
      </c>
      <c r="E23" s="264">
        <v>0</v>
      </c>
      <c r="F23" s="269">
        <v>201</v>
      </c>
      <c r="G23" s="261" t="s">
        <v>612</v>
      </c>
      <c r="H23" s="262"/>
      <c r="I23" s="262"/>
      <c r="J23" s="265">
        <v>2051</v>
      </c>
      <c r="K23" s="270">
        <v>36087</v>
      </c>
      <c r="L23" s="266">
        <v>1</v>
      </c>
      <c r="M23" s="266">
        <v>0.23</v>
      </c>
      <c r="N23" s="267">
        <v>8861.9</v>
      </c>
      <c r="O23" s="268">
        <v>45658</v>
      </c>
      <c r="P23" s="262"/>
      <c r="Q23" s="262"/>
    </row>
    <row r="24" spans="1:17" ht="14.1" customHeight="1">
      <c r="A24" s="261" t="s">
        <v>635</v>
      </c>
      <c r="B24" s="262"/>
      <c r="C24" s="263" t="s">
        <v>631</v>
      </c>
      <c r="D24" s="263" t="s">
        <v>632</v>
      </c>
      <c r="E24" s="264">
        <v>0</v>
      </c>
      <c r="F24" s="269">
        <v>201</v>
      </c>
      <c r="G24" s="261" t="s">
        <v>612</v>
      </c>
      <c r="H24" s="262"/>
      <c r="I24" s="262"/>
      <c r="J24" s="265">
        <v>2051</v>
      </c>
      <c r="K24" s="270">
        <v>36087</v>
      </c>
      <c r="L24" s="266">
        <v>1</v>
      </c>
      <c r="M24" s="266">
        <v>0.16</v>
      </c>
      <c r="N24" s="267">
        <v>5869.6</v>
      </c>
      <c r="O24" s="268">
        <v>45658</v>
      </c>
      <c r="P24" s="262"/>
      <c r="Q24" s="262"/>
    </row>
    <row r="25" spans="1:17" ht="14.1" customHeight="1">
      <c r="A25" s="261" t="s">
        <v>636</v>
      </c>
      <c r="B25" s="262"/>
      <c r="C25" s="263" t="s">
        <v>631</v>
      </c>
      <c r="D25" s="263" t="s">
        <v>632</v>
      </c>
      <c r="E25" s="264">
        <v>0</v>
      </c>
      <c r="F25" s="269">
        <v>201</v>
      </c>
      <c r="G25" s="261" t="s">
        <v>612</v>
      </c>
      <c r="H25" s="262"/>
      <c r="I25" s="262"/>
      <c r="J25" s="265">
        <v>2051</v>
      </c>
      <c r="K25" s="270">
        <v>36087</v>
      </c>
      <c r="L25" s="266">
        <v>1</v>
      </c>
      <c r="M25" s="266">
        <v>0.26</v>
      </c>
      <c r="N25" s="271">
        <v>991.9</v>
      </c>
      <c r="O25" s="268">
        <v>45658</v>
      </c>
      <c r="P25" s="262"/>
      <c r="Q25" s="262"/>
    </row>
    <row r="26" spans="1:17" ht="14.1" customHeight="1">
      <c r="A26" s="261" t="s">
        <v>637</v>
      </c>
      <c r="B26" s="262"/>
      <c r="C26" s="263" t="s">
        <v>631</v>
      </c>
      <c r="D26" s="263" t="s">
        <v>632</v>
      </c>
      <c r="E26" s="264">
        <v>0</v>
      </c>
      <c r="F26" s="269">
        <v>201</v>
      </c>
      <c r="G26" s="261" t="s">
        <v>612</v>
      </c>
      <c r="H26" s="262"/>
      <c r="I26" s="262"/>
      <c r="J26" s="265">
        <v>2051</v>
      </c>
      <c r="K26" s="270">
        <v>36087</v>
      </c>
      <c r="L26" s="266">
        <v>1</v>
      </c>
      <c r="M26" s="266">
        <v>1</v>
      </c>
      <c r="N26" s="267">
        <v>1587.5</v>
      </c>
      <c r="O26" s="268">
        <v>45658</v>
      </c>
      <c r="P26" s="262"/>
      <c r="Q26" s="262"/>
    </row>
    <row r="27" spans="1:17" ht="14.1" customHeight="1">
      <c r="A27" s="261" t="s">
        <v>638</v>
      </c>
      <c r="B27" s="262"/>
      <c r="C27" s="263" t="s">
        <v>631</v>
      </c>
      <c r="D27" s="263" t="s">
        <v>632</v>
      </c>
      <c r="E27" s="264">
        <v>0</v>
      </c>
      <c r="F27" s="269">
        <v>201</v>
      </c>
      <c r="G27" s="261" t="s">
        <v>612</v>
      </c>
      <c r="H27" s="262"/>
      <c r="I27" s="262"/>
      <c r="J27" s="265">
        <v>2051</v>
      </c>
      <c r="K27" s="270">
        <v>36087</v>
      </c>
      <c r="L27" s="266">
        <v>1</v>
      </c>
      <c r="M27" s="266">
        <v>0.15</v>
      </c>
      <c r="N27" s="267">
        <v>2328.3000000000002</v>
      </c>
      <c r="O27" s="268">
        <v>45658</v>
      </c>
      <c r="P27" s="262"/>
      <c r="Q27" s="262"/>
    </row>
    <row r="28" spans="1:17" ht="14.1" customHeight="1">
      <c r="A28" s="261" t="s">
        <v>639</v>
      </c>
      <c r="B28" s="262"/>
      <c r="C28" s="263" t="s">
        <v>631</v>
      </c>
      <c r="D28" s="263" t="s">
        <v>632</v>
      </c>
      <c r="E28" s="264">
        <v>0</v>
      </c>
      <c r="F28" s="269">
        <v>201</v>
      </c>
      <c r="G28" s="261" t="s">
        <v>612</v>
      </c>
      <c r="H28" s="262"/>
      <c r="I28" s="262"/>
      <c r="J28" s="265">
        <v>2051</v>
      </c>
      <c r="K28" s="270">
        <v>36087</v>
      </c>
      <c r="L28" s="266">
        <v>1</v>
      </c>
      <c r="M28" s="266">
        <v>1</v>
      </c>
      <c r="N28" s="267">
        <v>2910.51</v>
      </c>
      <c r="O28" s="268">
        <v>45658</v>
      </c>
      <c r="P28" s="262"/>
      <c r="Q28" s="262"/>
    </row>
    <row r="29" spans="1:17" ht="14.1" customHeight="1">
      <c r="A29" s="261" t="s">
        <v>640</v>
      </c>
      <c r="B29" s="262"/>
      <c r="C29" s="263" t="s">
        <v>631</v>
      </c>
      <c r="D29" s="263" t="s">
        <v>632</v>
      </c>
      <c r="E29" s="264">
        <v>0</v>
      </c>
      <c r="F29" s="269">
        <v>201</v>
      </c>
      <c r="G29" s="261" t="s">
        <v>612</v>
      </c>
      <c r="H29" s="262"/>
      <c r="I29" s="262"/>
      <c r="J29" s="265">
        <v>2051</v>
      </c>
      <c r="K29" s="270">
        <v>36087</v>
      </c>
      <c r="L29" s="266">
        <v>1</v>
      </c>
      <c r="M29" s="266">
        <v>1</v>
      </c>
      <c r="N29" s="271">
        <v>64.099999999999994</v>
      </c>
      <c r="O29" s="268">
        <v>45658</v>
      </c>
      <c r="P29" s="262"/>
      <c r="Q29" s="262"/>
    </row>
    <row r="30" spans="1:17" ht="14.1" customHeight="1">
      <c r="A30" s="261" t="s">
        <v>641</v>
      </c>
      <c r="B30" s="262"/>
      <c r="C30" s="263" t="s">
        <v>631</v>
      </c>
      <c r="D30" s="263" t="s">
        <v>632</v>
      </c>
      <c r="E30" s="264">
        <v>0</v>
      </c>
      <c r="F30" s="269">
        <v>201</v>
      </c>
      <c r="G30" s="261" t="s">
        <v>612</v>
      </c>
      <c r="H30" s="262"/>
      <c r="I30" s="262"/>
      <c r="J30" s="265">
        <v>2051</v>
      </c>
      <c r="K30" s="270">
        <v>36087</v>
      </c>
      <c r="L30" s="266">
        <v>1</v>
      </c>
      <c r="M30" s="266">
        <v>1</v>
      </c>
      <c r="N30" s="271">
        <v>300.2</v>
      </c>
      <c r="O30" s="268">
        <v>45658</v>
      </c>
      <c r="P30" s="262"/>
      <c r="Q30" s="262"/>
    </row>
    <row r="31" spans="1:17" ht="14.1" customHeight="1">
      <c r="A31" s="261" t="s">
        <v>642</v>
      </c>
      <c r="B31" s="262"/>
      <c r="C31" s="263" t="s">
        <v>643</v>
      </c>
      <c r="D31" s="264">
        <v>190060</v>
      </c>
      <c r="E31" s="264">
        <v>0</v>
      </c>
      <c r="F31" s="264">
        <v>1903</v>
      </c>
      <c r="G31" s="261" t="s">
        <v>612</v>
      </c>
      <c r="H31" s="262"/>
      <c r="I31" s="262"/>
      <c r="J31" s="265">
        <v>238256</v>
      </c>
      <c r="K31" s="262"/>
      <c r="L31" s="266">
        <v>1</v>
      </c>
      <c r="M31" s="266">
        <v>1</v>
      </c>
      <c r="N31" s="271">
        <v>84</v>
      </c>
      <c r="O31" s="268">
        <v>45658</v>
      </c>
      <c r="P31" s="262"/>
      <c r="Q31" s="262"/>
    </row>
    <row r="32" spans="1:17" ht="14.1" customHeight="1">
      <c r="A32" s="261" t="s">
        <v>644</v>
      </c>
      <c r="B32" s="262"/>
      <c r="C32" s="263" t="s">
        <v>643</v>
      </c>
      <c r="D32" s="264">
        <v>190060</v>
      </c>
      <c r="E32" s="264">
        <v>0</v>
      </c>
      <c r="F32" s="264">
        <v>1903</v>
      </c>
      <c r="G32" s="261" t="s">
        <v>612</v>
      </c>
      <c r="H32" s="262"/>
      <c r="I32" s="262"/>
      <c r="J32" s="265">
        <v>238256</v>
      </c>
      <c r="K32" s="262"/>
      <c r="L32" s="266">
        <v>1</v>
      </c>
      <c r="M32" s="266">
        <v>0.14000000000000001</v>
      </c>
      <c r="N32" s="271">
        <v>235.2</v>
      </c>
      <c r="O32" s="268">
        <v>45658</v>
      </c>
      <c r="P32" s="262"/>
      <c r="Q32" s="262"/>
    </row>
    <row r="33" spans="1:17" ht="14.1" customHeight="1">
      <c r="A33" s="261" t="s">
        <v>645</v>
      </c>
      <c r="B33" s="262"/>
      <c r="C33" s="263" t="s">
        <v>643</v>
      </c>
      <c r="D33" s="264">
        <v>190060</v>
      </c>
      <c r="E33" s="264">
        <v>0</v>
      </c>
      <c r="F33" s="264">
        <v>1903</v>
      </c>
      <c r="G33" s="261" t="s">
        <v>612</v>
      </c>
      <c r="H33" s="262"/>
      <c r="I33" s="262"/>
      <c r="J33" s="265">
        <v>238256</v>
      </c>
      <c r="K33" s="262"/>
      <c r="L33" s="266">
        <v>1</v>
      </c>
      <c r="M33" s="266">
        <v>1E-3</v>
      </c>
      <c r="N33" s="271">
        <v>4.12</v>
      </c>
      <c r="O33" s="268">
        <v>45658</v>
      </c>
      <c r="P33" s="262"/>
      <c r="Q33" s="262"/>
    </row>
    <row r="34" spans="1:17" ht="14.1" customHeight="1">
      <c r="A34" s="261" t="s">
        <v>646</v>
      </c>
      <c r="B34" s="262"/>
      <c r="C34" s="263" t="s">
        <v>643</v>
      </c>
      <c r="D34" s="264">
        <v>190060</v>
      </c>
      <c r="E34" s="264">
        <v>0</v>
      </c>
      <c r="F34" s="264">
        <v>1903</v>
      </c>
      <c r="G34" s="261" t="s">
        <v>612</v>
      </c>
      <c r="H34" s="262"/>
      <c r="I34" s="262"/>
      <c r="J34" s="265">
        <v>238256</v>
      </c>
      <c r="K34" s="262"/>
      <c r="L34" s="266">
        <v>1</v>
      </c>
      <c r="M34" s="266">
        <v>1</v>
      </c>
      <c r="N34" s="271">
        <v>126</v>
      </c>
      <c r="O34" s="268">
        <v>45658</v>
      </c>
      <c r="P34" s="262"/>
      <c r="Q34" s="262"/>
    </row>
    <row r="35" spans="1:17" ht="14.1" customHeight="1">
      <c r="A35" s="261" t="s">
        <v>647</v>
      </c>
      <c r="B35" s="262"/>
      <c r="C35" s="263" t="s">
        <v>643</v>
      </c>
      <c r="D35" s="264">
        <v>190060</v>
      </c>
      <c r="E35" s="264">
        <v>0</v>
      </c>
      <c r="F35" s="264">
        <v>1903</v>
      </c>
      <c r="G35" s="261" t="s">
        <v>612</v>
      </c>
      <c r="H35" s="262"/>
      <c r="I35" s="262"/>
      <c r="J35" s="265">
        <v>238256</v>
      </c>
      <c r="K35" s="262"/>
      <c r="L35" s="266">
        <v>1</v>
      </c>
      <c r="M35" s="266">
        <v>1</v>
      </c>
      <c r="N35" s="271">
        <v>84</v>
      </c>
      <c r="O35" s="268">
        <v>45658</v>
      </c>
      <c r="P35" s="262"/>
      <c r="Q35" s="262"/>
    </row>
    <row r="36" spans="1:17" ht="14.1" customHeight="1">
      <c r="A36" s="261" t="s">
        <v>648</v>
      </c>
      <c r="B36" s="262"/>
      <c r="C36" s="263" t="s">
        <v>643</v>
      </c>
      <c r="D36" s="264">
        <v>190060</v>
      </c>
      <c r="E36" s="264">
        <v>0</v>
      </c>
      <c r="F36" s="264">
        <v>1903</v>
      </c>
      <c r="G36" s="261" t="s">
        <v>612</v>
      </c>
      <c r="H36" s="262"/>
      <c r="I36" s="262"/>
      <c r="J36" s="265">
        <v>238256</v>
      </c>
      <c r="K36" s="262"/>
      <c r="L36" s="266">
        <v>1</v>
      </c>
      <c r="M36" s="266">
        <v>1</v>
      </c>
      <c r="N36" s="271">
        <v>42</v>
      </c>
      <c r="O36" s="268">
        <v>45658</v>
      </c>
      <c r="P36" s="262"/>
      <c r="Q36" s="262"/>
    </row>
    <row r="37" spans="1:17" ht="14.1" customHeight="1">
      <c r="A37" s="261" t="s">
        <v>649</v>
      </c>
      <c r="B37" s="262"/>
      <c r="C37" s="263" t="s">
        <v>643</v>
      </c>
      <c r="D37" s="264">
        <v>190060</v>
      </c>
      <c r="E37" s="264">
        <v>0</v>
      </c>
      <c r="F37" s="264">
        <v>1903</v>
      </c>
      <c r="G37" s="261" t="s">
        <v>612</v>
      </c>
      <c r="H37" s="262"/>
      <c r="I37" s="262"/>
      <c r="J37" s="265">
        <v>238256</v>
      </c>
      <c r="K37" s="262"/>
      <c r="L37" s="266">
        <v>1</v>
      </c>
      <c r="M37" s="266">
        <v>1</v>
      </c>
      <c r="N37" s="271">
        <v>84</v>
      </c>
      <c r="O37" s="268">
        <v>45658</v>
      </c>
      <c r="P37" s="262"/>
      <c r="Q37" s="262"/>
    </row>
    <row r="38" spans="1:17" ht="14.1" customHeight="1">
      <c r="A38" s="261" t="s">
        <v>650</v>
      </c>
      <c r="B38" s="262"/>
      <c r="C38" s="263" t="s">
        <v>643</v>
      </c>
      <c r="D38" s="264">
        <v>190060</v>
      </c>
      <c r="E38" s="264">
        <v>0</v>
      </c>
      <c r="F38" s="264">
        <v>1903</v>
      </c>
      <c r="G38" s="261" t="s">
        <v>612</v>
      </c>
      <c r="H38" s="262"/>
      <c r="I38" s="262"/>
      <c r="J38" s="265">
        <v>238256</v>
      </c>
      <c r="K38" s="262"/>
      <c r="L38" s="266">
        <v>1</v>
      </c>
      <c r="M38" s="266">
        <v>1</v>
      </c>
      <c r="N38" s="271">
        <v>252</v>
      </c>
      <c r="O38" s="268">
        <v>45658</v>
      </c>
      <c r="P38" s="262"/>
      <c r="Q38" s="262"/>
    </row>
    <row r="39" spans="1:17" ht="14.1" customHeight="1">
      <c r="A39" s="261" t="s">
        <v>651</v>
      </c>
      <c r="B39" s="262"/>
      <c r="C39" s="263" t="s">
        <v>643</v>
      </c>
      <c r="D39" s="264">
        <v>190060</v>
      </c>
      <c r="E39" s="264">
        <v>0</v>
      </c>
      <c r="F39" s="264">
        <v>1903</v>
      </c>
      <c r="G39" s="261" t="s">
        <v>612</v>
      </c>
      <c r="H39" s="262"/>
      <c r="I39" s="262"/>
      <c r="J39" s="265">
        <v>238256</v>
      </c>
      <c r="K39" s="262"/>
      <c r="L39" s="266">
        <v>1</v>
      </c>
      <c r="M39" s="266">
        <v>1</v>
      </c>
      <c r="N39" s="271">
        <v>84</v>
      </c>
      <c r="O39" s="268">
        <v>45658</v>
      </c>
      <c r="P39" s="262"/>
      <c r="Q39" s="262"/>
    </row>
    <row r="40" spans="1:17" ht="14.1" customHeight="1">
      <c r="A40" s="261" t="s">
        <v>652</v>
      </c>
      <c r="B40" s="262"/>
      <c r="C40" s="263" t="s">
        <v>643</v>
      </c>
      <c r="D40" s="264">
        <v>190060</v>
      </c>
      <c r="E40" s="264">
        <v>0</v>
      </c>
      <c r="F40" s="264">
        <v>1903</v>
      </c>
      <c r="G40" s="261" t="s">
        <v>612</v>
      </c>
      <c r="H40" s="262"/>
      <c r="I40" s="262"/>
      <c r="J40" s="265">
        <v>238256</v>
      </c>
      <c r="K40" s="262"/>
      <c r="L40" s="266">
        <v>1</v>
      </c>
      <c r="M40" s="266">
        <v>1</v>
      </c>
      <c r="N40" s="271">
        <v>42</v>
      </c>
      <c r="O40" s="268">
        <v>45658</v>
      </c>
      <c r="P40" s="262"/>
      <c r="Q40" s="262"/>
    </row>
    <row r="41" spans="1:17" ht="14.1" customHeight="1">
      <c r="A41" s="261" t="s">
        <v>653</v>
      </c>
      <c r="B41" s="262"/>
      <c r="C41" s="263" t="s">
        <v>654</v>
      </c>
      <c r="D41" s="264">
        <v>250000</v>
      </c>
      <c r="E41" s="264">
        <v>0</v>
      </c>
      <c r="F41" s="269">
        <v>201</v>
      </c>
      <c r="G41" s="261" t="s">
        <v>612</v>
      </c>
      <c r="H41" s="262"/>
      <c r="I41" s="262"/>
      <c r="J41" s="265">
        <v>2051</v>
      </c>
      <c r="K41" s="270">
        <v>67052</v>
      </c>
      <c r="L41" s="266">
        <v>1</v>
      </c>
      <c r="M41" s="266">
        <v>0.7</v>
      </c>
      <c r="N41" s="267">
        <v>1927.8</v>
      </c>
      <c r="O41" s="268">
        <v>45658</v>
      </c>
      <c r="P41" s="262"/>
      <c r="Q41" s="262"/>
    </row>
    <row r="42" spans="1:17" ht="14.1" customHeight="1">
      <c r="A42" s="261" t="s">
        <v>655</v>
      </c>
      <c r="B42" s="262"/>
      <c r="C42" s="263" t="s">
        <v>654</v>
      </c>
      <c r="D42" s="264">
        <v>250000</v>
      </c>
      <c r="E42" s="264">
        <v>0</v>
      </c>
      <c r="F42" s="269">
        <v>201</v>
      </c>
      <c r="G42" s="261" t="s">
        <v>612</v>
      </c>
      <c r="H42" s="262"/>
      <c r="I42" s="262"/>
      <c r="J42" s="265">
        <v>2051</v>
      </c>
      <c r="K42" s="270">
        <v>67052</v>
      </c>
      <c r="L42" s="266">
        <v>1</v>
      </c>
      <c r="M42" s="266">
        <v>0.7</v>
      </c>
      <c r="N42" s="267">
        <v>4725</v>
      </c>
      <c r="O42" s="268">
        <v>45658</v>
      </c>
      <c r="P42" s="262"/>
      <c r="Q42" s="262"/>
    </row>
    <row r="43" spans="1:17" ht="14.1" customHeight="1">
      <c r="A43" s="261" t="s">
        <v>656</v>
      </c>
      <c r="B43" s="262"/>
      <c r="C43" s="263" t="s">
        <v>654</v>
      </c>
      <c r="D43" s="264">
        <v>250000</v>
      </c>
      <c r="E43" s="264">
        <v>0</v>
      </c>
      <c r="F43" s="269">
        <v>201</v>
      </c>
      <c r="G43" s="261" t="s">
        <v>612</v>
      </c>
      <c r="H43" s="262"/>
      <c r="I43" s="262"/>
      <c r="J43" s="265">
        <v>2051</v>
      </c>
      <c r="K43" s="270">
        <v>67052</v>
      </c>
      <c r="L43" s="266">
        <v>1</v>
      </c>
      <c r="M43" s="266">
        <v>1</v>
      </c>
      <c r="N43" s="267">
        <v>3000</v>
      </c>
      <c r="O43" s="268">
        <v>45658</v>
      </c>
      <c r="P43" s="262"/>
      <c r="Q43" s="262"/>
    </row>
    <row r="44" spans="1:17" ht="14.1" customHeight="1">
      <c r="A44" s="261" t="s">
        <v>657</v>
      </c>
      <c r="B44" s="262"/>
      <c r="C44" s="263" t="s">
        <v>654</v>
      </c>
      <c r="D44" s="264">
        <v>250000</v>
      </c>
      <c r="E44" s="264">
        <v>0</v>
      </c>
      <c r="F44" s="269">
        <v>201</v>
      </c>
      <c r="G44" s="261" t="s">
        <v>612</v>
      </c>
      <c r="H44" s="262"/>
      <c r="I44" s="262"/>
      <c r="J44" s="265">
        <v>2051</v>
      </c>
      <c r="K44" s="270">
        <v>67052</v>
      </c>
      <c r="L44" s="266">
        <v>1</v>
      </c>
      <c r="M44" s="266">
        <v>1</v>
      </c>
      <c r="N44" s="267">
        <v>1920</v>
      </c>
      <c r="O44" s="268">
        <v>45658</v>
      </c>
      <c r="P44" s="262"/>
      <c r="Q44" s="262"/>
    </row>
    <row r="45" spans="1:17" ht="14.1" customHeight="1">
      <c r="A45" s="261" t="s">
        <v>658</v>
      </c>
      <c r="B45" s="262"/>
      <c r="C45" s="263" t="s">
        <v>654</v>
      </c>
      <c r="D45" s="264">
        <v>250000</v>
      </c>
      <c r="E45" s="264">
        <v>0</v>
      </c>
      <c r="F45" s="269">
        <v>201</v>
      </c>
      <c r="G45" s="261" t="s">
        <v>612</v>
      </c>
      <c r="H45" s="262"/>
      <c r="I45" s="262"/>
      <c r="J45" s="265">
        <v>2051</v>
      </c>
      <c r="K45" s="270">
        <v>67052</v>
      </c>
      <c r="L45" s="266">
        <v>1</v>
      </c>
      <c r="M45" s="266">
        <v>1</v>
      </c>
      <c r="N45" s="267">
        <v>1500</v>
      </c>
      <c r="O45" s="268">
        <v>45658</v>
      </c>
      <c r="P45" s="262"/>
      <c r="Q45" s="262"/>
    </row>
    <row r="46" spans="1:17" ht="14.1" customHeight="1">
      <c r="A46" s="261" t="s">
        <v>659</v>
      </c>
      <c r="B46" s="262"/>
      <c r="C46" s="263" t="s">
        <v>654</v>
      </c>
      <c r="D46" s="264">
        <v>250000</v>
      </c>
      <c r="E46" s="264">
        <v>0</v>
      </c>
      <c r="F46" s="269">
        <v>201</v>
      </c>
      <c r="G46" s="261" t="s">
        <v>612</v>
      </c>
      <c r="H46" s="262"/>
      <c r="I46" s="262"/>
      <c r="J46" s="265">
        <v>2051</v>
      </c>
      <c r="K46" s="270">
        <v>67052</v>
      </c>
      <c r="L46" s="266">
        <v>1</v>
      </c>
      <c r="M46" s="266">
        <v>1</v>
      </c>
      <c r="N46" s="267">
        <v>1800</v>
      </c>
      <c r="O46" s="268">
        <v>45658</v>
      </c>
      <c r="P46" s="262"/>
      <c r="Q46" s="262"/>
    </row>
    <row r="47" spans="1:17" ht="14.1" customHeight="1">
      <c r="A47" s="261" t="s">
        <v>660</v>
      </c>
      <c r="B47" s="262"/>
      <c r="C47" s="263" t="s">
        <v>654</v>
      </c>
      <c r="D47" s="264">
        <v>250000</v>
      </c>
      <c r="E47" s="264">
        <v>0</v>
      </c>
      <c r="F47" s="269">
        <v>201</v>
      </c>
      <c r="G47" s="261" t="s">
        <v>612</v>
      </c>
      <c r="H47" s="262"/>
      <c r="I47" s="262"/>
      <c r="J47" s="265">
        <v>2051</v>
      </c>
      <c r="K47" s="270">
        <v>67052</v>
      </c>
      <c r="L47" s="266">
        <v>1</v>
      </c>
      <c r="M47" s="266">
        <v>1</v>
      </c>
      <c r="N47" s="267">
        <v>2160</v>
      </c>
      <c r="O47" s="268">
        <v>45658</v>
      </c>
      <c r="P47" s="262"/>
      <c r="Q47" s="262"/>
    </row>
    <row r="48" spans="1:17" ht="14.1" customHeight="1">
      <c r="A48" s="261" t="s">
        <v>661</v>
      </c>
      <c r="B48" s="262"/>
      <c r="C48" s="263" t="s">
        <v>654</v>
      </c>
      <c r="D48" s="264">
        <v>250000</v>
      </c>
      <c r="E48" s="264">
        <v>0</v>
      </c>
      <c r="F48" s="269">
        <v>201</v>
      </c>
      <c r="G48" s="261" t="s">
        <v>612</v>
      </c>
      <c r="H48" s="262"/>
      <c r="I48" s="262"/>
      <c r="J48" s="265">
        <v>2051</v>
      </c>
      <c r="K48" s="270">
        <v>67052</v>
      </c>
      <c r="L48" s="266">
        <v>1</v>
      </c>
      <c r="M48" s="266">
        <v>1</v>
      </c>
      <c r="N48" s="267">
        <v>1800</v>
      </c>
      <c r="O48" s="268">
        <v>45658</v>
      </c>
      <c r="P48" s="262"/>
      <c r="Q48" s="262"/>
    </row>
    <row r="49" spans="1:17" ht="14.1" customHeight="1">
      <c r="A49" s="261" t="s">
        <v>662</v>
      </c>
      <c r="B49" s="262"/>
      <c r="C49" s="263" t="s">
        <v>654</v>
      </c>
      <c r="D49" s="264">
        <v>250000</v>
      </c>
      <c r="E49" s="264">
        <v>0</v>
      </c>
      <c r="F49" s="269">
        <v>201</v>
      </c>
      <c r="G49" s="261" t="s">
        <v>612</v>
      </c>
      <c r="H49" s="262"/>
      <c r="I49" s="262"/>
      <c r="J49" s="265">
        <v>2051</v>
      </c>
      <c r="K49" s="270">
        <v>67052</v>
      </c>
      <c r="L49" s="266">
        <v>1</v>
      </c>
      <c r="M49" s="266">
        <v>1</v>
      </c>
      <c r="N49" s="267">
        <v>1800</v>
      </c>
      <c r="O49" s="268">
        <v>45658</v>
      </c>
      <c r="P49" s="262"/>
      <c r="Q49" s="262"/>
    </row>
    <row r="50" spans="1:17" ht="14.1" customHeight="1">
      <c r="A50" s="261" t="s">
        <v>663</v>
      </c>
      <c r="B50" s="262"/>
      <c r="C50" s="263" t="s">
        <v>654</v>
      </c>
      <c r="D50" s="264">
        <v>250000</v>
      </c>
      <c r="E50" s="264">
        <v>0</v>
      </c>
      <c r="F50" s="269">
        <v>201</v>
      </c>
      <c r="G50" s="261" t="s">
        <v>612</v>
      </c>
      <c r="H50" s="262"/>
      <c r="I50" s="262"/>
      <c r="J50" s="265">
        <v>2051</v>
      </c>
      <c r="K50" s="270">
        <v>67052</v>
      </c>
      <c r="L50" s="266">
        <v>1</v>
      </c>
      <c r="M50" s="266">
        <v>1</v>
      </c>
      <c r="N50" s="267">
        <v>2700</v>
      </c>
      <c r="O50" s="268">
        <v>45658</v>
      </c>
      <c r="P50" s="262"/>
      <c r="Q50" s="262"/>
    </row>
    <row r="51" spans="1:17" ht="14.1" customHeight="1">
      <c r="A51" s="261" t="s">
        <v>664</v>
      </c>
      <c r="B51" s="262"/>
      <c r="C51" s="263" t="s">
        <v>654</v>
      </c>
      <c r="D51" s="264">
        <v>250000</v>
      </c>
      <c r="E51" s="264">
        <v>0</v>
      </c>
      <c r="F51" s="269">
        <v>201</v>
      </c>
      <c r="G51" s="261" t="s">
        <v>612</v>
      </c>
      <c r="H51" s="262"/>
      <c r="I51" s="262"/>
      <c r="J51" s="265">
        <v>2051</v>
      </c>
      <c r="K51" s="270">
        <v>67052</v>
      </c>
      <c r="L51" s="266">
        <v>1</v>
      </c>
      <c r="M51" s="266">
        <v>1</v>
      </c>
      <c r="N51" s="267">
        <v>2160</v>
      </c>
      <c r="O51" s="268">
        <v>45658</v>
      </c>
      <c r="P51" s="262"/>
      <c r="Q51" s="262"/>
    </row>
    <row r="52" spans="1:17" ht="14.1" customHeight="1">
      <c r="A52" s="261" t="s">
        <v>665</v>
      </c>
      <c r="B52" s="262"/>
      <c r="C52" s="263" t="s">
        <v>654</v>
      </c>
      <c r="D52" s="264">
        <v>250000</v>
      </c>
      <c r="E52" s="264">
        <v>0</v>
      </c>
      <c r="F52" s="269">
        <v>201</v>
      </c>
      <c r="G52" s="261" t="s">
        <v>612</v>
      </c>
      <c r="H52" s="262"/>
      <c r="I52" s="262"/>
      <c r="J52" s="265">
        <v>2051</v>
      </c>
      <c r="K52" s="270">
        <v>67052</v>
      </c>
      <c r="L52" s="266">
        <v>1</v>
      </c>
      <c r="M52" s="266">
        <v>1</v>
      </c>
      <c r="N52" s="267">
        <v>1800</v>
      </c>
      <c r="O52" s="268">
        <v>45658</v>
      </c>
      <c r="P52" s="262"/>
      <c r="Q52" s="262"/>
    </row>
    <row r="53" spans="1:17" ht="14.1" customHeight="1">
      <c r="A53" s="261" t="s">
        <v>666</v>
      </c>
      <c r="B53" s="262"/>
      <c r="C53" s="263" t="s">
        <v>654</v>
      </c>
      <c r="D53" s="264">
        <v>250000</v>
      </c>
      <c r="E53" s="264">
        <v>0</v>
      </c>
      <c r="F53" s="269">
        <v>201</v>
      </c>
      <c r="G53" s="261" t="s">
        <v>612</v>
      </c>
      <c r="H53" s="262"/>
      <c r="I53" s="262"/>
      <c r="J53" s="265">
        <v>2051</v>
      </c>
      <c r="K53" s="270">
        <v>67052</v>
      </c>
      <c r="L53" s="266">
        <v>8</v>
      </c>
      <c r="M53" s="266">
        <v>8</v>
      </c>
      <c r="N53" s="267">
        <v>12000</v>
      </c>
      <c r="O53" s="268">
        <v>45658</v>
      </c>
      <c r="P53" s="262"/>
      <c r="Q53" s="262"/>
    </row>
    <row r="54" spans="1:17" ht="14.1" customHeight="1">
      <c r="A54" s="261" t="s">
        <v>667</v>
      </c>
      <c r="B54" s="262"/>
      <c r="C54" s="263" t="s">
        <v>654</v>
      </c>
      <c r="D54" s="264">
        <v>250000</v>
      </c>
      <c r="E54" s="264">
        <v>0</v>
      </c>
      <c r="F54" s="269">
        <v>201</v>
      </c>
      <c r="G54" s="261" t="s">
        <v>612</v>
      </c>
      <c r="H54" s="262"/>
      <c r="I54" s="262"/>
      <c r="J54" s="265">
        <v>2051</v>
      </c>
      <c r="K54" s="270">
        <v>67052</v>
      </c>
      <c r="L54" s="266">
        <v>1</v>
      </c>
      <c r="M54" s="266">
        <v>1</v>
      </c>
      <c r="N54" s="271">
        <v>881</v>
      </c>
      <c r="O54" s="268">
        <v>45658</v>
      </c>
      <c r="P54" s="262"/>
      <c r="Q54" s="262"/>
    </row>
    <row r="55" spans="1:17" ht="14.1" customHeight="1">
      <c r="A55" s="261" t="s">
        <v>668</v>
      </c>
      <c r="B55" s="262"/>
      <c r="C55" s="263" t="s">
        <v>654</v>
      </c>
      <c r="D55" s="264">
        <v>250000</v>
      </c>
      <c r="E55" s="264">
        <v>0</v>
      </c>
      <c r="F55" s="269">
        <v>201</v>
      </c>
      <c r="G55" s="261" t="s">
        <v>612</v>
      </c>
      <c r="H55" s="262"/>
      <c r="I55" s="262"/>
      <c r="J55" s="265">
        <v>2051</v>
      </c>
      <c r="K55" s="270">
        <v>67052</v>
      </c>
      <c r="L55" s="266">
        <v>9</v>
      </c>
      <c r="M55" s="266">
        <v>9</v>
      </c>
      <c r="N55" s="267">
        <v>7929</v>
      </c>
      <c r="O55" s="268">
        <v>45658</v>
      </c>
      <c r="P55" s="262"/>
      <c r="Q55" s="262"/>
    </row>
    <row r="56" spans="1:17" ht="14.1" customHeight="1">
      <c r="A56" s="261" t="s">
        <v>669</v>
      </c>
      <c r="B56" s="262"/>
      <c r="C56" s="263" t="s">
        <v>654</v>
      </c>
      <c r="D56" s="264">
        <v>250000</v>
      </c>
      <c r="E56" s="264">
        <v>0</v>
      </c>
      <c r="F56" s="269">
        <v>201</v>
      </c>
      <c r="G56" s="261" t="s">
        <v>612</v>
      </c>
      <c r="H56" s="262"/>
      <c r="I56" s="262"/>
      <c r="J56" s="265">
        <v>2051</v>
      </c>
      <c r="K56" s="270">
        <v>67052</v>
      </c>
      <c r="L56" s="266">
        <v>1</v>
      </c>
      <c r="M56" s="266">
        <v>1</v>
      </c>
      <c r="N56" s="271">
        <v>956</v>
      </c>
      <c r="O56" s="268">
        <v>45658</v>
      </c>
      <c r="P56" s="262"/>
      <c r="Q56" s="262"/>
    </row>
    <row r="57" spans="1:17" ht="14.1" customHeight="1">
      <c r="A57" s="261" t="s">
        <v>670</v>
      </c>
      <c r="B57" s="262"/>
      <c r="C57" s="263" t="s">
        <v>654</v>
      </c>
      <c r="D57" s="264">
        <v>250000</v>
      </c>
      <c r="E57" s="264">
        <v>0</v>
      </c>
      <c r="F57" s="269">
        <v>201</v>
      </c>
      <c r="G57" s="261" t="s">
        <v>612</v>
      </c>
      <c r="H57" s="262"/>
      <c r="I57" s="262"/>
      <c r="J57" s="265">
        <v>2051</v>
      </c>
      <c r="K57" s="270">
        <v>67052</v>
      </c>
      <c r="L57" s="266">
        <v>2</v>
      </c>
      <c r="M57" s="266">
        <v>2</v>
      </c>
      <c r="N57" s="267">
        <v>1912</v>
      </c>
      <c r="O57" s="268">
        <v>45658</v>
      </c>
      <c r="P57" s="262"/>
      <c r="Q57" s="262"/>
    </row>
    <row r="58" spans="1:17" ht="14.1" customHeight="1">
      <c r="A58" s="261" t="s">
        <v>671</v>
      </c>
      <c r="B58" s="262"/>
      <c r="C58" s="263" t="s">
        <v>654</v>
      </c>
      <c r="D58" s="264">
        <v>250000</v>
      </c>
      <c r="E58" s="264">
        <v>0</v>
      </c>
      <c r="F58" s="269">
        <v>201</v>
      </c>
      <c r="G58" s="261" t="s">
        <v>612</v>
      </c>
      <c r="H58" s="262"/>
      <c r="I58" s="262"/>
      <c r="J58" s="265">
        <v>2051</v>
      </c>
      <c r="K58" s="270">
        <v>67052</v>
      </c>
      <c r="L58" s="266">
        <v>1</v>
      </c>
      <c r="M58" s="266">
        <v>1</v>
      </c>
      <c r="N58" s="267">
        <v>6120</v>
      </c>
      <c r="O58" s="268">
        <v>45658</v>
      </c>
      <c r="P58" s="262"/>
      <c r="Q58" s="262"/>
    </row>
    <row r="59" spans="1:17" ht="14.1" customHeight="1">
      <c r="A59" s="261" t="s">
        <v>672</v>
      </c>
      <c r="B59" s="262"/>
      <c r="C59" s="263" t="s">
        <v>654</v>
      </c>
      <c r="D59" s="264">
        <v>250000</v>
      </c>
      <c r="E59" s="264">
        <v>0</v>
      </c>
      <c r="F59" s="269">
        <v>201</v>
      </c>
      <c r="G59" s="261" t="s">
        <v>612</v>
      </c>
      <c r="H59" s="262"/>
      <c r="I59" s="262"/>
      <c r="J59" s="265">
        <v>2051</v>
      </c>
      <c r="K59" s="270">
        <v>67052</v>
      </c>
      <c r="L59" s="266">
        <v>1</v>
      </c>
      <c r="M59" s="266">
        <v>1</v>
      </c>
      <c r="N59" s="271">
        <v>765</v>
      </c>
      <c r="O59" s="268">
        <v>45658</v>
      </c>
      <c r="P59" s="262"/>
      <c r="Q59" s="262"/>
    </row>
    <row r="60" spans="1:17" ht="14.1" customHeight="1">
      <c r="A60" s="261" t="s">
        <v>673</v>
      </c>
      <c r="B60" s="262"/>
      <c r="C60" s="263" t="s">
        <v>654</v>
      </c>
      <c r="D60" s="264">
        <v>250000</v>
      </c>
      <c r="E60" s="264">
        <v>0</v>
      </c>
      <c r="F60" s="269">
        <v>201</v>
      </c>
      <c r="G60" s="261" t="s">
        <v>612</v>
      </c>
      <c r="H60" s="262"/>
      <c r="I60" s="262"/>
      <c r="J60" s="265">
        <v>2051</v>
      </c>
      <c r="K60" s="270">
        <v>67052</v>
      </c>
      <c r="L60" s="266">
        <v>1</v>
      </c>
      <c r="M60" s="266">
        <v>1</v>
      </c>
      <c r="N60" s="267">
        <v>1875</v>
      </c>
      <c r="O60" s="268">
        <v>45658</v>
      </c>
      <c r="P60" s="262"/>
      <c r="Q60" s="262"/>
    </row>
    <row r="61" spans="1:17" ht="14.1" customHeight="1">
      <c r="A61" s="261" t="s">
        <v>674</v>
      </c>
      <c r="B61" s="262"/>
      <c r="C61" s="263" t="s">
        <v>654</v>
      </c>
      <c r="D61" s="264">
        <v>250000</v>
      </c>
      <c r="E61" s="264">
        <v>0</v>
      </c>
      <c r="F61" s="269">
        <v>201</v>
      </c>
      <c r="G61" s="261" t="s">
        <v>612</v>
      </c>
      <c r="H61" s="262"/>
      <c r="I61" s="262"/>
      <c r="J61" s="265">
        <v>2051</v>
      </c>
      <c r="K61" s="270">
        <v>67052</v>
      </c>
      <c r="L61" s="266">
        <v>1</v>
      </c>
      <c r="M61" s="266">
        <v>1</v>
      </c>
      <c r="N61" s="267">
        <v>1125</v>
      </c>
      <c r="O61" s="268">
        <v>45658</v>
      </c>
      <c r="P61" s="262"/>
      <c r="Q61" s="262"/>
    </row>
    <row r="62" spans="1:17" ht="14.1" customHeight="1">
      <c r="A62" s="261" t="s">
        <v>675</v>
      </c>
      <c r="B62" s="262"/>
      <c r="C62" s="263" t="s">
        <v>654</v>
      </c>
      <c r="D62" s="264">
        <v>250000</v>
      </c>
      <c r="E62" s="264">
        <v>0</v>
      </c>
      <c r="F62" s="269">
        <v>201</v>
      </c>
      <c r="G62" s="261" t="s">
        <v>612</v>
      </c>
      <c r="H62" s="262"/>
      <c r="I62" s="262"/>
      <c r="J62" s="265">
        <v>2051</v>
      </c>
      <c r="K62" s="270">
        <v>67052</v>
      </c>
      <c r="L62" s="266">
        <v>1</v>
      </c>
      <c r="M62" s="266">
        <v>1</v>
      </c>
      <c r="N62" s="271">
        <v>450</v>
      </c>
      <c r="O62" s="268">
        <v>45658</v>
      </c>
      <c r="P62" s="262"/>
      <c r="Q62" s="262"/>
    </row>
    <row r="63" spans="1:17" ht="14.1" customHeight="1">
      <c r="A63" s="261" t="s">
        <v>676</v>
      </c>
      <c r="B63" s="262"/>
      <c r="C63" s="263" t="s">
        <v>654</v>
      </c>
      <c r="D63" s="264">
        <v>250000</v>
      </c>
      <c r="E63" s="264">
        <v>0</v>
      </c>
      <c r="F63" s="269">
        <v>201</v>
      </c>
      <c r="G63" s="261" t="s">
        <v>612</v>
      </c>
      <c r="H63" s="262"/>
      <c r="I63" s="262"/>
      <c r="J63" s="265">
        <v>2051</v>
      </c>
      <c r="K63" s="270">
        <v>67052</v>
      </c>
      <c r="L63" s="266">
        <v>1</v>
      </c>
      <c r="M63" s="266">
        <v>1</v>
      </c>
      <c r="N63" s="271">
        <v>450</v>
      </c>
      <c r="O63" s="268">
        <v>45658</v>
      </c>
      <c r="P63" s="262"/>
      <c r="Q63" s="262"/>
    </row>
    <row r="64" spans="1:17" ht="14.1" customHeight="1">
      <c r="A64" s="261" t="s">
        <v>677</v>
      </c>
      <c r="B64" s="262"/>
      <c r="C64" s="263" t="s">
        <v>654</v>
      </c>
      <c r="D64" s="264">
        <v>250000</v>
      </c>
      <c r="E64" s="264">
        <v>0</v>
      </c>
      <c r="F64" s="269">
        <v>201</v>
      </c>
      <c r="G64" s="261" t="s">
        <v>612</v>
      </c>
      <c r="H64" s="262"/>
      <c r="I64" s="262"/>
      <c r="J64" s="265">
        <v>2051</v>
      </c>
      <c r="K64" s="270">
        <v>67052</v>
      </c>
      <c r="L64" s="266">
        <v>1</v>
      </c>
      <c r="M64" s="266">
        <v>1</v>
      </c>
      <c r="N64" s="271">
        <v>450</v>
      </c>
      <c r="O64" s="268">
        <v>45658</v>
      </c>
      <c r="P64" s="262"/>
      <c r="Q64" s="262"/>
    </row>
    <row r="65" spans="1:17" ht="14.1" customHeight="1">
      <c r="A65" s="261" t="s">
        <v>678</v>
      </c>
      <c r="B65" s="262"/>
      <c r="C65" s="263" t="s">
        <v>654</v>
      </c>
      <c r="D65" s="264">
        <v>250000</v>
      </c>
      <c r="E65" s="264">
        <v>0</v>
      </c>
      <c r="F65" s="269">
        <v>201</v>
      </c>
      <c r="G65" s="261" t="s">
        <v>612</v>
      </c>
      <c r="H65" s="262"/>
      <c r="I65" s="262"/>
      <c r="J65" s="265">
        <v>2051</v>
      </c>
      <c r="K65" s="270">
        <v>67052</v>
      </c>
      <c r="L65" s="266">
        <v>1</v>
      </c>
      <c r="M65" s="266">
        <v>1</v>
      </c>
      <c r="N65" s="271">
        <v>450</v>
      </c>
      <c r="O65" s="268">
        <v>45658</v>
      </c>
      <c r="P65" s="262"/>
      <c r="Q65" s="262"/>
    </row>
    <row r="66" spans="1:17" ht="14.1" customHeight="1">
      <c r="A66" s="261" t="s">
        <v>679</v>
      </c>
      <c r="B66" s="262"/>
      <c r="C66" s="263" t="s">
        <v>654</v>
      </c>
      <c r="D66" s="264">
        <v>250000</v>
      </c>
      <c r="E66" s="264">
        <v>0</v>
      </c>
      <c r="F66" s="269">
        <v>201</v>
      </c>
      <c r="G66" s="261" t="s">
        <v>612</v>
      </c>
      <c r="H66" s="262"/>
      <c r="I66" s="262"/>
      <c r="J66" s="265">
        <v>2051</v>
      </c>
      <c r="K66" s="270">
        <v>67052</v>
      </c>
      <c r="L66" s="266">
        <v>1</v>
      </c>
      <c r="M66" s="266">
        <v>1</v>
      </c>
      <c r="N66" s="271">
        <v>450</v>
      </c>
      <c r="O66" s="268">
        <v>45658</v>
      </c>
      <c r="P66" s="262"/>
      <c r="Q66" s="262"/>
    </row>
    <row r="67" spans="1:17" ht="14.1" customHeight="1">
      <c r="A67" s="261" t="s">
        <v>680</v>
      </c>
      <c r="B67" s="262"/>
      <c r="C67" s="263" t="s">
        <v>654</v>
      </c>
      <c r="D67" s="264">
        <v>250000</v>
      </c>
      <c r="E67" s="264">
        <v>0</v>
      </c>
      <c r="F67" s="269">
        <v>201</v>
      </c>
      <c r="G67" s="261" t="s">
        <v>612</v>
      </c>
      <c r="H67" s="262"/>
      <c r="I67" s="262"/>
      <c r="J67" s="265">
        <v>2051</v>
      </c>
      <c r="K67" s="270">
        <v>67052</v>
      </c>
      <c r="L67" s="266">
        <v>1</v>
      </c>
      <c r="M67" s="266">
        <v>1</v>
      </c>
      <c r="N67" s="271">
        <v>450</v>
      </c>
      <c r="O67" s="268">
        <v>45658</v>
      </c>
      <c r="P67" s="262"/>
      <c r="Q67" s="262"/>
    </row>
    <row r="68" spans="1:17" ht="14.1" customHeight="1">
      <c r="A68" s="261" t="s">
        <v>681</v>
      </c>
      <c r="B68" s="262"/>
      <c r="C68" s="263" t="s">
        <v>654</v>
      </c>
      <c r="D68" s="264">
        <v>250000</v>
      </c>
      <c r="E68" s="264">
        <v>0</v>
      </c>
      <c r="F68" s="269">
        <v>201</v>
      </c>
      <c r="G68" s="261" t="s">
        <v>612</v>
      </c>
      <c r="H68" s="262"/>
      <c r="I68" s="262"/>
      <c r="J68" s="265">
        <v>2051</v>
      </c>
      <c r="K68" s="270">
        <v>67052</v>
      </c>
      <c r="L68" s="266">
        <v>1</v>
      </c>
      <c r="M68" s="266">
        <v>1</v>
      </c>
      <c r="N68" s="271">
        <v>450</v>
      </c>
      <c r="O68" s="268">
        <v>45658</v>
      </c>
      <c r="P68" s="262"/>
      <c r="Q68" s="262"/>
    </row>
    <row r="69" spans="1:17" ht="14.1" customHeight="1">
      <c r="A69" s="261" t="s">
        <v>682</v>
      </c>
      <c r="B69" s="262"/>
      <c r="C69" s="263" t="s">
        <v>654</v>
      </c>
      <c r="D69" s="264">
        <v>250000</v>
      </c>
      <c r="E69" s="264">
        <v>0</v>
      </c>
      <c r="F69" s="269">
        <v>201</v>
      </c>
      <c r="G69" s="261" t="s">
        <v>612</v>
      </c>
      <c r="H69" s="262"/>
      <c r="I69" s="262"/>
      <c r="J69" s="265">
        <v>2051</v>
      </c>
      <c r="K69" s="270">
        <v>67052</v>
      </c>
      <c r="L69" s="266">
        <v>1</v>
      </c>
      <c r="M69" s="266">
        <v>1</v>
      </c>
      <c r="N69" s="271">
        <v>750</v>
      </c>
      <c r="O69" s="268">
        <v>45658</v>
      </c>
      <c r="P69" s="262"/>
      <c r="Q69" s="262"/>
    </row>
    <row r="70" spans="1:17" ht="14.1" customHeight="1">
      <c r="A70" s="261" t="s">
        <v>683</v>
      </c>
      <c r="B70" s="262"/>
      <c r="C70" s="263" t="s">
        <v>654</v>
      </c>
      <c r="D70" s="264">
        <v>250000</v>
      </c>
      <c r="E70" s="264">
        <v>0</v>
      </c>
      <c r="F70" s="269">
        <v>201</v>
      </c>
      <c r="G70" s="261" t="s">
        <v>612</v>
      </c>
      <c r="H70" s="262"/>
      <c r="I70" s="262"/>
      <c r="J70" s="265">
        <v>2051</v>
      </c>
      <c r="K70" s="270">
        <v>67052</v>
      </c>
      <c r="L70" s="266">
        <v>1</v>
      </c>
      <c r="M70" s="266">
        <v>1</v>
      </c>
      <c r="N70" s="267">
        <v>3144</v>
      </c>
      <c r="O70" s="268">
        <v>45658</v>
      </c>
      <c r="P70" s="262"/>
      <c r="Q70" s="262"/>
    </row>
    <row r="71" spans="1:17" ht="14.1" customHeight="1">
      <c r="A71" s="261" t="s">
        <v>684</v>
      </c>
      <c r="B71" s="262"/>
      <c r="C71" s="263" t="s">
        <v>654</v>
      </c>
      <c r="D71" s="264">
        <v>250000</v>
      </c>
      <c r="E71" s="264">
        <v>0</v>
      </c>
      <c r="F71" s="269">
        <v>201</v>
      </c>
      <c r="G71" s="261" t="s">
        <v>612</v>
      </c>
      <c r="H71" s="262"/>
      <c r="I71" s="262"/>
      <c r="J71" s="265">
        <v>2051</v>
      </c>
      <c r="K71" s="270">
        <v>67052</v>
      </c>
      <c r="L71" s="266">
        <v>1</v>
      </c>
      <c r="M71" s="266">
        <v>1</v>
      </c>
      <c r="N71" s="271">
        <v>881</v>
      </c>
      <c r="O71" s="268">
        <v>45658</v>
      </c>
      <c r="P71" s="262"/>
      <c r="Q71" s="262"/>
    </row>
    <row r="72" spans="1:17" ht="14.1" customHeight="1">
      <c r="A72" s="261" t="s">
        <v>685</v>
      </c>
      <c r="B72" s="262"/>
      <c r="C72" s="263" t="s">
        <v>686</v>
      </c>
      <c r="D72" s="263" t="s">
        <v>687</v>
      </c>
      <c r="E72" s="264">
        <v>0</v>
      </c>
      <c r="F72" s="264">
        <v>1903</v>
      </c>
      <c r="G72" s="261" t="s">
        <v>612</v>
      </c>
      <c r="H72" s="262"/>
      <c r="I72" s="262"/>
      <c r="J72" s="265">
        <v>238256</v>
      </c>
      <c r="K72" s="262"/>
      <c r="L72" s="266">
        <v>1</v>
      </c>
      <c r="M72" s="266">
        <v>1</v>
      </c>
      <c r="N72" s="271">
        <v>780</v>
      </c>
      <c r="O72" s="268">
        <v>45658</v>
      </c>
      <c r="P72" s="262"/>
      <c r="Q72" s="262"/>
    </row>
    <row r="73" spans="1:17" ht="14.1" customHeight="1">
      <c r="A73" s="261" t="s">
        <v>688</v>
      </c>
      <c r="B73" s="262"/>
      <c r="C73" s="263" t="s">
        <v>689</v>
      </c>
      <c r="D73" s="264">
        <v>190084</v>
      </c>
      <c r="E73" s="264">
        <v>0</v>
      </c>
      <c r="F73" s="264">
        <v>1903</v>
      </c>
      <c r="G73" s="261" t="s">
        <v>612</v>
      </c>
      <c r="H73" s="262"/>
      <c r="I73" s="262"/>
      <c r="J73" s="265">
        <v>238256</v>
      </c>
      <c r="K73" s="262"/>
      <c r="L73" s="266">
        <v>1</v>
      </c>
      <c r="M73" s="266">
        <v>0.50600000000000001</v>
      </c>
      <c r="N73" s="267">
        <v>478196.41</v>
      </c>
      <c r="O73" s="268">
        <v>45658</v>
      </c>
      <c r="P73" s="262"/>
      <c r="Q73" s="262"/>
    </row>
    <row r="74" spans="1:17" ht="14.1" customHeight="1">
      <c r="A74" s="261" t="s">
        <v>690</v>
      </c>
      <c r="B74" s="262"/>
      <c r="C74" s="263" t="s">
        <v>691</v>
      </c>
      <c r="D74" s="264">
        <v>190085</v>
      </c>
      <c r="E74" s="264">
        <v>0</v>
      </c>
      <c r="F74" s="264">
        <v>1903</v>
      </c>
      <c r="G74" s="261" t="s">
        <v>612</v>
      </c>
      <c r="H74" s="262"/>
      <c r="I74" s="262"/>
      <c r="J74" s="265">
        <v>238257</v>
      </c>
      <c r="K74" s="262"/>
      <c r="L74" s="266">
        <v>1</v>
      </c>
      <c r="M74" s="266">
        <v>0.6</v>
      </c>
      <c r="N74" s="267">
        <v>5312.88</v>
      </c>
      <c r="O74" s="268">
        <v>45658</v>
      </c>
      <c r="P74" s="262"/>
      <c r="Q74" s="262"/>
    </row>
    <row r="75" spans="1:17" ht="14.1" customHeight="1">
      <c r="A75" s="261" t="s">
        <v>692</v>
      </c>
      <c r="B75" s="262"/>
      <c r="C75" s="263" t="s">
        <v>693</v>
      </c>
      <c r="D75" s="264">
        <v>190085</v>
      </c>
      <c r="E75" s="264">
        <v>0</v>
      </c>
      <c r="F75" s="264">
        <v>1903</v>
      </c>
      <c r="G75" s="261" t="s">
        <v>612</v>
      </c>
      <c r="H75" s="262"/>
      <c r="I75" s="262"/>
      <c r="J75" s="265">
        <v>238257</v>
      </c>
      <c r="K75" s="262"/>
      <c r="L75" s="266">
        <v>1</v>
      </c>
      <c r="M75" s="266">
        <v>0.6</v>
      </c>
      <c r="N75" s="267">
        <v>5312.88</v>
      </c>
      <c r="O75" s="268">
        <v>45658</v>
      </c>
      <c r="P75" s="262"/>
      <c r="Q75" s="262"/>
    </row>
    <row r="76" spans="1:17" ht="14.1" customHeight="1">
      <c r="A76" s="261" t="s">
        <v>694</v>
      </c>
      <c r="B76" s="262"/>
      <c r="C76" s="263" t="s">
        <v>693</v>
      </c>
      <c r="D76" s="264">
        <v>190085</v>
      </c>
      <c r="E76" s="264">
        <v>0</v>
      </c>
      <c r="F76" s="264">
        <v>1903</v>
      </c>
      <c r="G76" s="261" t="s">
        <v>612</v>
      </c>
      <c r="H76" s="262"/>
      <c r="I76" s="262"/>
      <c r="J76" s="265">
        <v>238257</v>
      </c>
      <c r="K76" s="262"/>
      <c r="L76" s="266">
        <v>1</v>
      </c>
      <c r="M76" s="266">
        <v>1</v>
      </c>
      <c r="N76" s="271">
        <v>0</v>
      </c>
      <c r="O76" s="268">
        <v>45658</v>
      </c>
      <c r="P76" s="262"/>
      <c r="Q76" s="262"/>
    </row>
    <row r="77" spans="1:17" ht="14.1" customHeight="1">
      <c r="A77" s="261" t="s">
        <v>695</v>
      </c>
      <c r="B77" s="262"/>
      <c r="C77" s="263" t="s">
        <v>696</v>
      </c>
      <c r="D77" s="263" t="s">
        <v>697</v>
      </c>
      <c r="E77" s="264">
        <v>0</v>
      </c>
      <c r="F77" s="264">
        <v>1903</v>
      </c>
      <c r="G77" s="261" t="s">
        <v>612</v>
      </c>
      <c r="H77" s="262"/>
      <c r="I77" s="262"/>
      <c r="J77" s="265">
        <v>2031</v>
      </c>
      <c r="K77" s="270">
        <v>71012</v>
      </c>
      <c r="L77" s="266">
        <v>24</v>
      </c>
      <c r="M77" s="266">
        <v>4</v>
      </c>
      <c r="N77" s="267">
        <v>1224</v>
      </c>
      <c r="O77" s="268">
        <v>45658</v>
      </c>
      <c r="P77" s="262"/>
      <c r="Q77" s="262"/>
    </row>
    <row r="78" spans="1:17" ht="14.1" customHeight="1">
      <c r="A78" s="261" t="s">
        <v>698</v>
      </c>
      <c r="B78" s="262"/>
      <c r="C78" s="263" t="s">
        <v>696</v>
      </c>
      <c r="D78" s="263" t="s">
        <v>697</v>
      </c>
      <c r="E78" s="264">
        <v>0</v>
      </c>
      <c r="F78" s="264">
        <v>1903</v>
      </c>
      <c r="G78" s="261" t="s">
        <v>612</v>
      </c>
      <c r="H78" s="262"/>
      <c r="I78" s="262"/>
      <c r="J78" s="265">
        <v>2031</v>
      </c>
      <c r="K78" s="270">
        <v>71012</v>
      </c>
      <c r="L78" s="266">
        <v>1</v>
      </c>
      <c r="M78" s="266">
        <v>1</v>
      </c>
      <c r="N78" s="271">
        <v>816</v>
      </c>
      <c r="O78" s="268">
        <v>45658</v>
      </c>
      <c r="P78" s="262"/>
      <c r="Q78" s="262"/>
    </row>
    <row r="79" spans="1:17" ht="14.1" customHeight="1">
      <c r="A79" s="261" t="s">
        <v>699</v>
      </c>
      <c r="B79" s="262"/>
      <c r="C79" s="263" t="s">
        <v>700</v>
      </c>
      <c r="D79" s="264">
        <v>200005</v>
      </c>
      <c r="E79" s="264">
        <v>1</v>
      </c>
      <c r="F79" s="264">
        <v>1903</v>
      </c>
      <c r="G79" s="261" t="s">
        <v>612</v>
      </c>
      <c r="H79" s="262"/>
      <c r="I79" s="262"/>
      <c r="J79" s="265">
        <v>238257</v>
      </c>
      <c r="K79" s="262"/>
      <c r="L79" s="266">
        <v>1</v>
      </c>
      <c r="M79" s="266">
        <v>1</v>
      </c>
      <c r="N79" s="267">
        <v>66911.75</v>
      </c>
      <c r="O79" s="268">
        <v>45658</v>
      </c>
      <c r="P79" s="262"/>
      <c r="Q79" s="262"/>
    </row>
    <row r="80" spans="1:17" ht="14.1" customHeight="1">
      <c r="A80" s="261" t="s">
        <v>701</v>
      </c>
      <c r="B80" s="262"/>
      <c r="C80" s="263" t="s">
        <v>700</v>
      </c>
      <c r="D80" s="264">
        <v>200005</v>
      </c>
      <c r="E80" s="264">
        <v>1</v>
      </c>
      <c r="F80" s="264">
        <v>1903</v>
      </c>
      <c r="G80" s="261" t="s">
        <v>612</v>
      </c>
      <c r="H80" s="262"/>
      <c r="I80" s="262"/>
      <c r="J80" s="265">
        <v>238257</v>
      </c>
      <c r="K80" s="262"/>
      <c r="L80" s="266">
        <v>1</v>
      </c>
      <c r="M80" s="266">
        <v>1</v>
      </c>
      <c r="N80" s="267">
        <v>51529.81</v>
      </c>
      <c r="O80" s="268">
        <v>45658</v>
      </c>
      <c r="P80" s="262"/>
      <c r="Q80" s="262"/>
    </row>
    <row r="81" spans="1:17" ht="14.1" customHeight="1">
      <c r="A81" s="261" t="s">
        <v>702</v>
      </c>
      <c r="B81" s="262"/>
      <c r="C81" s="263" t="s">
        <v>700</v>
      </c>
      <c r="D81" s="264">
        <v>200005</v>
      </c>
      <c r="E81" s="264">
        <v>1</v>
      </c>
      <c r="F81" s="264">
        <v>1903</v>
      </c>
      <c r="G81" s="261" t="s">
        <v>612</v>
      </c>
      <c r="H81" s="262"/>
      <c r="I81" s="262"/>
      <c r="J81" s="265">
        <v>238257</v>
      </c>
      <c r="K81" s="262"/>
      <c r="L81" s="266">
        <v>1</v>
      </c>
      <c r="M81" s="266">
        <v>1</v>
      </c>
      <c r="N81" s="267">
        <v>60187.22</v>
      </c>
      <c r="O81" s="268">
        <v>45658</v>
      </c>
      <c r="P81" s="262"/>
      <c r="Q81" s="262"/>
    </row>
    <row r="82" spans="1:17" ht="14.1" customHeight="1">
      <c r="A82" s="261" t="s">
        <v>703</v>
      </c>
      <c r="B82" s="262"/>
      <c r="C82" s="263" t="s">
        <v>700</v>
      </c>
      <c r="D82" s="264">
        <v>200005</v>
      </c>
      <c r="E82" s="264">
        <v>1</v>
      </c>
      <c r="F82" s="264">
        <v>1903</v>
      </c>
      <c r="G82" s="261" t="s">
        <v>612</v>
      </c>
      <c r="H82" s="262"/>
      <c r="I82" s="262"/>
      <c r="J82" s="265">
        <v>238257</v>
      </c>
      <c r="K82" s="262"/>
      <c r="L82" s="266">
        <v>1</v>
      </c>
      <c r="M82" s="266">
        <v>1</v>
      </c>
      <c r="N82" s="267">
        <v>116230.3</v>
      </c>
      <c r="O82" s="268">
        <v>45658</v>
      </c>
      <c r="P82" s="262"/>
      <c r="Q82" s="262"/>
    </row>
    <row r="83" spans="1:17" ht="14.1" customHeight="1">
      <c r="A83" s="261" t="s">
        <v>704</v>
      </c>
      <c r="B83" s="262"/>
      <c r="C83" s="263" t="s">
        <v>700</v>
      </c>
      <c r="D83" s="264">
        <v>200005</v>
      </c>
      <c r="E83" s="264">
        <v>2</v>
      </c>
      <c r="F83" s="264">
        <v>1903</v>
      </c>
      <c r="G83" s="261" t="s">
        <v>612</v>
      </c>
      <c r="H83" s="262"/>
      <c r="I83" s="262"/>
      <c r="J83" s="265">
        <v>238257</v>
      </c>
      <c r="K83" s="262"/>
      <c r="L83" s="266">
        <v>1</v>
      </c>
      <c r="M83" s="266">
        <v>1</v>
      </c>
      <c r="N83" s="267">
        <v>2850</v>
      </c>
      <c r="O83" s="268">
        <v>45658</v>
      </c>
      <c r="P83" s="262"/>
      <c r="Q83" s="262"/>
    </row>
    <row r="84" spans="1:17" ht="14.1" customHeight="1">
      <c r="A84" s="261" t="s">
        <v>705</v>
      </c>
      <c r="B84" s="262"/>
      <c r="C84" s="263" t="s">
        <v>700</v>
      </c>
      <c r="D84" s="264">
        <v>200005</v>
      </c>
      <c r="E84" s="264">
        <v>7</v>
      </c>
      <c r="F84" s="264">
        <v>1903</v>
      </c>
      <c r="G84" s="261" t="s">
        <v>612</v>
      </c>
      <c r="H84" s="262"/>
      <c r="I84" s="262"/>
      <c r="J84" s="265">
        <v>238257</v>
      </c>
      <c r="K84" s="262"/>
      <c r="L84" s="266">
        <v>1</v>
      </c>
      <c r="M84" s="266">
        <v>1</v>
      </c>
      <c r="N84" s="267">
        <v>4624.0600000000004</v>
      </c>
      <c r="O84" s="268">
        <v>45658</v>
      </c>
      <c r="P84" s="262"/>
      <c r="Q84" s="262"/>
    </row>
    <row r="85" spans="1:17" ht="14.1" customHeight="1">
      <c r="A85" s="261" t="s">
        <v>706</v>
      </c>
      <c r="B85" s="262"/>
      <c r="C85" s="263" t="s">
        <v>700</v>
      </c>
      <c r="D85" s="264">
        <v>200005</v>
      </c>
      <c r="E85" s="264">
        <v>11</v>
      </c>
      <c r="F85" s="264">
        <v>1903</v>
      </c>
      <c r="G85" s="261" t="s">
        <v>612</v>
      </c>
      <c r="H85" s="262"/>
      <c r="I85" s="262"/>
      <c r="J85" s="265">
        <v>238257</v>
      </c>
      <c r="K85" s="262"/>
      <c r="L85" s="266">
        <v>1</v>
      </c>
      <c r="M85" s="266">
        <v>1</v>
      </c>
      <c r="N85" s="267">
        <v>32255.27</v>
      </c>
      <c r="O85" s="268">
        <v>45658</v>
      </c>
      <c r="P85" s="262"/>
      <c r="Q85" s="262"/>
    </row>
    <row r="86" spans="1:17" ht="14.1" customHeight="1">
      <c r="A86" s="261" t="s">
        <v>707</v>
      </c>
      <c r="B86" s="262"/>
      <c r="C86" s="263" t="s">
        <v>700</v>
      </c>
      <c r="D86" s="264">
        <v>200005</v>
      </c>
      <c r="E86" s="264">
        <v>12</v>
      </c>
      <c r="F86" s="264">
        <v>1903</v>
      </c>
      <c r="G86" s="261" t="s">
        <v>612</v>
      </c>
      <c r="H86" s="262"/>
      <c r="I86" s="262"/>
      <c r="J86" s="265">
        <v>238257</v>
      </c>
      <c r="K86" s="262"/>
      <c r="L86" s="266">
        <v>1</v>
      </c>
      <c r="M86" s="266">
        <v>1</v>
      </c>
      <c r="N86" s="267">
        <v>8996.39</v>
      </c>
      <c r="O86" s="268">
        <v>45658</v>
      </c>
      <c r="P86" s="262"/>
      <c r="Q86" s="262"/>
    </row>
    <row r="87" spans="1:17" ht="14.1" customHeight="1">
      <c r="A87" s="261" t="s">
        <v>708</v>
      </c>
      <c r="B87" s="262"/>
      <c r="C87" s="263" t="s">
        <v>709</v>
      </c>
      <c r="D87" s="264">
        <v>250000</v>
      </c>
      <c r="E87" s="264">
        <v>0</v>
      </c>
      <c r="F87" s="264">
        <v>2101</v>
      </c>
      <c r="G87" s="261" t="s">
        <v>612</v>
      </c>
      <c r="H87" s="262"/>
      <c r="I87" s="262"/>
      <c r="J87" s="265">
        <v>2051</v>
      </c>
      <c r="K87" s="264">
        <v>67052</v>
      </c>
      <c r="L87" s="266">
        <v>1</v>
      </c>
      <c r="M87" s="266">
        <v>1</v>
      </c>
      <c r="N87" s="267">
        <v>4800</v>
      </c>
      <c r="O87" s="268">
        <v>45658</v>
      </c>
      <c r="P87" s="262"/>
      <c r="Q87" s="262"/>
    </row>
    <row r="88" spans="1:17" ht="14.1" customHeight="1">
      <c r="A88" s="261" t="s">
        <v>710</v>
      </c>
      <c r="B88" s="262"/>
      <c r="C88" s="263" t="s">
        <v>654</v>
      </c>
      <c r="D88" s="264">
        <v>250000</v>
      </c>
      <c r="E88" s="264">
        <v>0</v>
      </c>
      <c r="F88" s="269">
        <v>201</v>
      </c>
      <c r="G88" s="261" t="s">
        <v>612</v>
      </c>
      <c r="H88" s="262"/>
      <c r="I88" s="262"/>
      <c r="J88" s="265">
        <v>2051</v>
      </c>
      <c r="K88" s="264">
        <v>67052</v>
      </c>
      <c r="L88" s="266">
        <v>1</v>
      </c>
      <c r="M88" s="266">
        <v>0.2</v>
      </c>
      <c r="N88" s="267">
        <v>1400</v>
      </c>
      <c r="O88" s="268">
        <v>45658</v>
      </c>
      <c r="P88" s="262"/>
      <c r="Q88" s="262"/>
    </row>
    <row r="89" spans="1:17" ht="14.1" customHeight="1">
      <c r="A89" s="261" t="s">
        <v>711</v>
      </c>
      <c r="B89" s="262"/>
      <c r="C89" s="263" t="s">
        <v>712</v>
      </c>
      <c r="D89" s="264">
        <v>250000</v>
      </c>
      <c r="E89" s="264">
        <v>0</v>
      </c>
      <c r="F89" s="264">
        <v>1903</v>
      </c>
      <c r="G89" s="261" t="s">
        <v>617</v>
      </c>
      <c r="H89" s="262"/>
      <c r="I89" s="262"/>
      <c r="J89" s="265">
        <v>2031</v>
      </c>
      <c r="K89" s="272">
        <v>71.033000000000001</v>
      </c>
      <c r="L89" s="266">
        <v>1</v>
      </c>
      <c r="M89" s="266">
        <v>0.41</v>
      </c>
      <c r="N89" s="271">
        <v>480</v>
      </c>
      <c r="O89" s="268">
        <v>45658</v>
      </c>
      <c r="P89" s="273">
        <v>45735</v>
      </c>
      <c r="Q89" s="264">
        <v>650147</v>
      </c>
    </row>
    <row r="90" spans="1:17" ht="14.1" customHeight="1">
      <c r="A90" s="261" t="s">
        <v>713</v>
      </c>
      <c r="B90" s="262"/>
      <c r="C90" s="263" t="s">
        <v>712</v>
      </c>
      <c r="D90" s="264">
        <v>250000</v>
      </c>
      <c r="E90" s="264">
        <v>0</v>
      </c>
      <c r="F90" s="264">
        <v>1903</v>
      </c>
      <c r="G90" s="261" t="s">
        <v>617</v>
      </c>
      <c r="H90" s="262"/>
      <c r="I90" s="262"/>
      <c r="J90" s="265">
        <v>2031</v>
      </c>
      <c r="K90" s="272">
        <v>71.033000000000001</v>
      </c>
      <c r="L90" s="266">
        <v>1</v>
      </c>
      <c r="M90" s="266">
        <v>0.59</v>
      </c>
      <c r="N90" s="271">
        <v>693.84</v>
      </c>
      <c r="O90" s="268">
        <v>45658</v>
      </c>
      <c r="P90" s="262"/>
      <c r="Q90" s="262"/>
    </row>
    <row r="91" spans="1:17" ht="14.1" customHeight="1">
      <c r="A91" s="261" t="s">
        <v>714</v>
      </c>
      <c r="B91" s="262"/>
      <c r="C91" s="263" t="s">
        <v>715</v>
      </c>
      <c r="D91" s="263" t="s">
        <v>716</v>
      </c>
      <c r="E91" s="264">
        <v>0</v>
      </c>
      <c r="F91" s="264">
        <v>2501</v>
      </c>
      <c r="G91" s="261" t="s">
        <v>617</v>
      </c>
      <c r="H91" s="262"/>
      <c r="I91" s="262"/>
      <c r="J91" s="265">
        <v>2051</v>
      </c>
      <c r="K91" s="264">
        <v>67055</v>
      </c>
      <c r="L91" s="266">
        <v>1</v>
      </c>
      <c r="M91" s="266">
        <v>0.65</v>
      </c>
      <c r="N91" s="267">
        <v>1303.82</v>
      </c>
      <c r="O91" s="268">
        <v>45658</v>
      </c>
      <c r="P91" s="262"/>
      <c r="Q91" s="262"/>
    </row>
    <row r="92" spans="1:17" ht="14.1" customHeight="1">
      <c r="A92" s="261" t="s">
        <v>717</v>
      </c>
      <c r="B92" s="262"/>
      <c r="C92" s="263" t="s">
        <v>715</v>
      </c>
      <c r="D92" s="263" t="s">
        <v>716</v>
      </c>
      <c r="E92" s="264">
        <v>0</v>
      </c>
      <c r="F92" s="264">
        <v>2501</v>
      </c>
      <c r="G92" s="261" t="s">
        <v>617</v>
      </c>
      <c r="H92" s="262"/>
      <c r="I92" s="262"/>
      <c r="J92" s="265">
        <v>2051</v>
      </c>
      <c r="K92" s="264">
        <v>67055</v>
      </c>
      <c r="L92" s="266">
        <v>1</v>
      </c>
      <c r="M92" s="266">
        <v>0.65</v>
      </c>
      <c r="N92" s="267">
        <v>1343.33</v>
      </c>
      <c r="O92" s="268">
        <v>45658</v>
      </c>
      <c r="P92" s="262"/>
      <c r="Q92" s="262"/>
    </row>
    <row r="93" spans="1:17" ht="14.1" customHeight="1">
      <c r="A93" s="261" t="s">
        <v>718</v>
      </c>
      <c r="B93" s="262"/>
      <c r="C93" s="263" t="s">
        <v>715</v>
      </c>
      <c r="D93" s="263" t="s">
        <v>716</v>
      </c>
      <c r="E93" s="264">
        <v>0</v>
      </c>
      <c r="F93" s="264">
        <v>2501</v>
      </c>
      <c r="G93" s="261" t="s">
        <v>617</v>
      </c>
      <c r="H93" s="262"/>
      <c r="I93" s="262"/>
      <c r="J93" s="265">
        <v>2051</v>
      </c>
      <c r="K93" s="264">
        <v>67055</v>
      </c>
      <c r="L93" s="266">
        <v>1</v>
      </c>
      <c r="M93" s="266">
        <v>0.65</v>
      </c>
      <c r="N93" s="267">
        <v>1106.27</v>
      </c>
      <c r="O93" s="268">
        <v>45658</v>
      </c>
      <c r="P93" s="262"/>
      <c r="Q93" s="262"/>
    </row>
    <row r="94" spans="1:17" ht="14.1" customHeight="1">
      <c r="A94" s="261" t="s">
        <v>719</v>
      </c>
      <c r="B94" s="262"/>
      <c r="C94" s="263" t="s">
        <v>715</v>
      </c>
      <c r="D94" s="263" t="s">
        <v>716</v>
      </c>
      <c r="E94" s="264">
        <v>0</v>
      </c>
      <c r="F94" s="264">
        <v>2501</v>
      </c>
      <c r="G94" s="261" t="s">
        <v>617</v>
      </c>
      <c r="H94" s="262"/>
      <c r="I94" s="262"/>
      <c r="J94" s="265">
        <v>2051</v>
      </c>
      <c r="K94" s="264">
        <v>67055</v>
      </c>
      <c r="L94" s="266">
        <v>1</v>
      </c>
      <c r="M94" s="266">
        <v>0.65</v>
      </c>
      <c r="N94" s="271">
        <v>908.72</v>
      </c>
      <c r="O94" s="268">
        <v>45658</v>
      </c>
      <c r="P94" s="262"/>
      <c r="Q94" s="262"/>
    </row>
    <row r="95" spans="1:17" ht="14.1" customHeight="1">
      <c r="A95" s="261" t="s">
        <v>720</v>
      </c>
      <c r="B95" s="262"/>
      <c r="C95" s="263" t="s">
        <v>715</v>
      </c>
      <c r="D95" s="263" t="s">
        <v>716</v>
      </c>
      <c r="E95" s="264">
        <v>0</v>
      </c>
      <c r="F95" s="264">
        <v>2501</v>
      </c>
      <c r="G95" s="261" t="s">
        <v>617</v>
      </c>
      <c r="H95" s="262"/>
      <c r="I95" s="262"/>
      <c r="J95" s="265">
        <v>2051</v>
      </c>
      <c r="K95" s="264">
        <v>67055</v>
      </c>
      <c r="L95" s="266">
        <v>1</v>
      </c>
      <c r="M95" s="266">
        <v>1</v>
      </c>
      <c r="N95" s="267">
        <v>1536</v>
      </c>
      <c r="O95" s="268">
        <v>45658</v>
      </c>
      <c r="P95" s="262"/>
      <c r="Q95" s="262"/>
    </row>
    <row r="96" spans="1:17" ht="14.1" customHeight="1">
      <c r="A96" s="261" t="s">
        <v>721</v>
      </c>
      <c r="B96" s="262"/>
      <c r="C96" s="263" t="s">
        <v>715</v>
      </c>
      <c r="D96" s="263" t="s">
        <v>716</v>
      </c>
      <c r="E96" s="264">
        <v>0</v>
      </c>
      <c r="F96" s="264">
        <v>2501</v>
      </c>
      <c r="G96" s="261" t="s">
        <v>617</v>
      </c>
      <c r="H96" s="262"/>
      <c r="I96" s="262"/>
      <c r="J96" s="265">
        <v>2051</v>
      </c>
      <c r="K96" s="264">
        <v>67055</v>
      </c>
      <c r="L96" s="266">
        <v>1</v>
      </c>
      <c r="M96" s="266">
        <v>1</v>
      </c>
      <c r="N96" s="267">
        <v>1330.8</v>
      </c>
      <c r="O96" s="268">
        <v>45658</v>
      </c>
      <c r="P96" s="262"/>
      <c r="Q96" s="262"/>
    </row>
    <row r="97" spans="1:17" ht="14.1" customHeight="1">
      <c r="A97" s="261" t="s">
        <v>722</v>
      </c>
      <c r="B97" s="262"/>
      <c r="C97" s="263" t="s">
        <v>715</v>
      </c>
      <c r="D97" s="263" t="s">
        <v>716</v>
      </c>
      <c r="E97" s="264">
        <v>0</v>
      </c>
      <c r="F97" s="264">
        <v>2501</v>
      </c>
      <c r="G97" s="261" t="s">
        <v>617</v>
      </c>
      <c r="H97" s="262"/>
      <c r="I97" s="262"/>
      <c r="J97" s="265">
        <v>2051</v>
      </c>
      <c r="K97" s="264">
        <v>67055</v>
      </c>
      <c r="L97" s="266">
        <v>1</v>
      </c>
      <c r="M97" s="266">
        <v>1</v>
      </c>
      <c r="N97" s="271">
        <v>360</v>
      </c>
      <c r="O97" s="268">
        <v>45658</v>
      </c>
      <c r="P97" s="262"/>
      <c r="Q97" s="262"/>
    </row>
    <row r="98" spans="1:17" ht="14.1" customHeight="1">
      <c r="A98" s="261" t="s">
        <v>723</v>
      </c>
      <c r="B98" s="262"/>
      <c r="C98" s="263" t="s">
        <v>715</v>
      </c>
      <c r="D98" s="263" t="s">
        <v>716</v>
      </c>
      <c r="E98" s="264">
        <v>0</v>
      </c>
      <c r="F98" s="264">
        <v>2501</v>
      </c>
      <c r="G98" s="261" t="s">
        <v>617</v>
      </c>
      <c r="H98" s="262"/>
      <c r="I98" s="262"/>
      <c r="J98" s="265">
        <v>2051</v>
      </c>
      <c r="K98" s="264">
        <v>67055</v>
      </c>
      <c r="L98" s="266">
        <v>1.5</v>
      </c>
      <c r="M98" s="266">
        <v>1.5</v>
      </c>
      <c r="N98" s="267">
        <v>1663.5</v>
      </c>
      <c r="O98" s="268">
        <v>45658</v>
      </c>
      <c r="P98" s="262"/>
      <c r="Q98" s="262"/>
    </row>
    <row r="99" spans="1:17" ht="14.1" customHeight="1">
      <c r="A99" s="261" t="s">
        <v>724</v>
      </c>
      <c r="B99" s="262"/>
      <c r="C99" s="263" t="s">
        <v>715</v>
      </c>
      <c r="D99" s="263" t="s">
        <v>716</v>
      </c>
      <c r="E99" s="264">
        <v>0</v>
      </c>
      <c r="F99" s="264">
        <v>2501</v>
      </c>
      <c r="G99" s="261" t="s">
        <v>617</v>
      </c>
      <c r="H99" s="262"/>
      <c r="I99" s="262"/>
      <c r="J99" s="265">
        <v>2051</v>
      </c>
      <c r="K99" s="264">
        <v>67055</v>
      </c>
      <c r="L99" s="266">
        <v>2</v>
      </c>
      <c r="M99" s="266">
        <v>2</v>
      </c>
      <c r="N99" s="267">
        <v>2218</v>
      </c>
      <c r="O99" s="268">
        <v>45658</v>
      </c>
      <c r="P99" s="262"/>
      <c r="Q99" s="262"/>
    </row>
    <row r="100" spans="1:17" ht="14.1" customHeight="1">
      <c r="A100" s="261" t="s">
        <v>725</v>
      </c>
      <c r="B100" s="262"/>
      <c r="C100" s="263" t="s">
        <v>715</v>
      </c>
      <c r="D100" s="263" t="s">
        <v>716</v>
      </c>
      <c r="E100" s="264">
        <v>0</v>
      </c>
      <c r="F100" s="264">
        <v>2501</v>
      </c>
      <c r="G100" s="261" t="s">
        <v>617</v>
      </c>
      <c r="H100" s="262"/>
      <c r="I100" s="262"/>
      <c r="J100" s="265">
        <v>2051</v>
      </c>
      <c r="K100" s="264">
        <v>67055</v>
      </c>
      <c r="L100" s="266">
        <v>0.5</v>
      </c>
      <c r="M100" s="266">
        <v>0.5</v>
      </c>
      <c r="N100" s="271">
        <v>554.5</v>
      </c>
      <c r="O100" s="268">
        <v>45658</v>
      </c>
      <c r="P100" s="262"/>
      <c r="Q100" s="262"/>
    </row>
    <row r="101" spans="1:17" ht="14.1" customHeight="1">
      <c r="A101" s="261" t="s">
        <v>726</v>
      </c>
      <c r="B101" s="262"/>
      <c r="C101" s="263" t="s">
        <v>715</v>
      </c>
      <c r="D101" s="263" t="s">
        <v>716</v>
      </c>
      <c r="E101" s="264">
        <v>0</v>
      </c>
      <c r="F101" s="264">
        <v>2501</v>
      </c>
      <c r="G101" s="261" t="s">
        <v>617</v>
      </c>
      <c r="H101" s="262"/>
      <c r="I101" s="262"/>
      <c r="J101" s="265">
        <v>2051</v>
      </c>
      <c r="K101" s="264">
        <v>67055</v>
      </c>
      <c r="L101" s="266">
        <v>3</v>
      </c>
      <c r="M101" s="266">
        <v>3</v>
      </c>
      <c r="N101" s="267">
        <v>3327</v>
      </c>
      <c r="O101" s="268">
        <v>45658</v>
      </c>
      <c r="P101" s="262"/>
      <c r="Q101" s="262"/>
    </row>
    <row r="102" spans="1:17" ht="14.1" customHeight="1">
      <c r="A102" s="261" t="s">
        <v>727</v>
      </c>
      <c r="B102" s="262"/>
      <c r="C102" s="263" t="s">
        <v>715</v>
      </c>
      <c r="D102" s="263" t="s">
        <v>716</v>
      </c>
      <c r="E102" s="264">
        <v>0</v>
      </c>
      <c r="F102" s="264">
        <v>2501</v>
      </c>
      <c r="G102" s="261" t="s">
        <v>617</v>
      </c>
      <c r="H102" s="262"/>
      <c r="I102" s="262"/>
      <c r="J102" s="265">
        <v>2051</v>
      </c>
      <c r="K102" s="264">
        <v>67055</v>
      </c>
      <c r="L102" s="266">
        <v>7</v>
      </c>
      <c r="M102" s="266">
        <v>7</v>
      </c>
      <c r="N102" s="267">
        <v>2520</v>
      </c>
      <c r="O102" s="268">
        <v>45658</v>
      </c>
      <c r="P102" s="262"/>
      <c r="Q102" s="262"/>
    </row>
    <row r="103" spans="1:17" ht="14.1" customHeight="1">
      <c r="A103" s="261" t="s">
        <v>728</v>
      </c>
      <c r="B103" s="262"/>
      <c r="C103" s="263" t="s">
        <v>715</v>
      </c>
      <c r="D103" s="263" t="s">
        <v>716</v>
      </c>
      <c r="E103" s="264">
        <v>0</v>
      </c>
      <c r="F103" s="264">
        <v>2501</v>
      </c>
      <c r="G103" s="261" t="s">
        <v>617</v>
      </c>
      <c r="H103" s="262"/>
      <c r="I103" s="262"/>
      <c r="J103" s="265">
        <v>2051</v>
      </c>
      <c r="K103" s="264">
        <v>67055</v>
      </c>
      <c r="L103" s="266">
        <v>1</v>
      </c>
      <c r="M103" s="266">
        <v>0.65</v>
      </c>
      <c r="N103" s="271">
        <v>179.47</v>
      </c>
      <c r="O103" s="268">
        <v>45658</v>
      </c>
      <c r="P103" s="262"/>
      <c r="Q103" s="262"/>
    </row>
    <row r="104" spans="1:17" ht="14.1" customHeight="1">
      <c r="A104" s="261" t="s">
        <v>729</v>
      </c>
      <c r="B104" s="262"/>
      <c r="C104" s="263" t="s">
        <v>715</v>
      </c>
      <c r="D104" s="263" t="s">
        <v>716</v>
      </c>
      <c r="E104" s="264">
        <v>0</v>
      </c>
      <c r="F104" s="264">
        <v>2501</v>
      </c>
      <c r="G104" s="261" t="s">
        <v>617</v>
      </c>
      <c r="H104" s="262"/>
      <c r="I104" s="262"/>
      <c r="J104" s="265">
        <v>2051</v>
      </c>
      <c r="K104" s="264">
        <v>67055</v>
      </c>
      <c r="L104" s="266">
        <v>2</v>
      </c>
      <c r="M104" s="266">
        <v>2</v>
      </c>
      <c r="N104" s="267">
        <v>2640</v>
      </c>
      <c r="O104" s="268">
        <v>45658</v>
      </c>
      <c r="P104" s="262"/>
      <c r="Q104" s="262"/>
    </row>
    <row r="105" spans="1:17" ht="14.1" customHeight="1">
      <c r="A105" s="261" t="s">
        <v>730</v>
      </c>
      <c r="B105" s="262"/>
      <c r="C105" s="263" t="s">
        <v>715</v>
      </c>
      <c r="D105" s="263" t="s">
        <v>716</v>
      </c>
      <c r="E105" s="264">
        <v>0</v>
      </c>
      <c r="F105" s="264">
        <v>2501</v>
      </c>
      <c r="G105" s="261" t="s">
        <v>617</v>
      </c>
      <c r="H105" s="262"/>
      <c r="I105" s="262"/>
      <c r="J105" s="265">
        <v>2051</v>
      </c>
      <c r="K105" s="264">
        <v>67055</v>
      </c>
      <c r="L105" s="266">
        <v>3</v>
      </c>
      <c r="M105" s="266">
        <v>3</v>
      </c>
      <c r="N105" s="267">
        <v>3960</v>
      </c>
      <c r="O105" s="268">
        <v>45658</v>
      </c>
      <c r="P105" s="262"/>
      <c r="Q105" s="262"/>
    </row>
    <row r="106" spans="1:17" ht="14.1" customHeight="1">
      <c r="A106" s="261" t="s">
        <v>731</v>
      </c>
      <c r="B106" s="262"/>
      <c r="C106" s="263" t="s">
        <v>715</v>
      </c>
      <c r="D106" s="263" t="s">
        <v>716</v>
      </c>
      <c r="E106" s="264">
        <v>0</v>
      </c>
      <c r="F106" s="264">
        <v>2501</v>
      </c>
      <c r="G106" s="261" t="s">
        <v>617</v>
      </c>
      <c r="H106" s="262"/>
      <c r="I106" s="262"/>
      <c r="J106" s="265">
        <v>2051</v>
      </c>
      <c r="K106" s="264">
        <v>67055</v>
      </c>
      <c r="L106" s="266">
        <v>1</v>
      </c>
      <c r="M106" s="266">
        <v>1</v>
      </c>
      <c r="N106" s="267">
        <v>1536</v>
      </c>
      <c r="O106" s="268">
        <v>45658</v>
      </c>
      <c r="P106" s="262"/>
      <c r="Q106" s="262"/>
    </row>
    <row r="107" spans="1:17" ht="14.1" customHeight="1">
      <c r="A107" s="261" t="s">
        <v>732</v>
      </c>
      <c r="B107" s="262"/>
      <c r="C107" s="263" t="s">
        <v>733</v>
      </c>
      <c r="D107" s="264">
        <v>250000</v>
      </c>
      <c r="E107" s="264">
        <v>0</v>
      </c>
      <c r="F107" s="269">
        <v>201</v>
      </c>
      <c r="G107" s="261" t="s">
        <v>617</v>
      </c>
      <c r="H107" s="262"/>
      <c r="I107" s="262"/>
      <c r="J107" s="265">
        <v>2051</v>
      </c>
      <c r="K107" s="264">
        <v>67056</v>
      </c>
      <c r="L107" s="266">
        <v>1</v>
      </c>
      <c r="M107" s="266">
        <v>1</v>
      </c>
      <c r="N107" s="271">
        <v>70.319999999999993</v>
      </c>
      <c r="O107" s="268">
        <v>45658</v>
      </c>
      <c r="P107" s="262"/>
      <c r="Q107" s="262"/>
    </row>
    <row r="108" spans="1:17" ht="14.1" customHeight="1">
      <c r="A108" s="261" t="s">
        <v>734</v>
      </c>
      <c r="B108" s="262"/>
      <c r="C108" s="263" t="s">
        <v>733</v>
      </c>
      <c r="D108" s="264">
        <v>250000</v>
      </c>
      <c r="E108" s="264">
        <v>0</v>
      </c>
      <c r="F108" s="269">
        <v>201</v>
      </c>
      <c r="G108" s="261" t="s">
        <v>617</v>
      </c>
      <c r="H108" s="262"/>
      <c r="I108" s="262"/>
      <c r="J108" s="265">
        <v>2051</v>
      </c>
      <c r="K108" s="264">
        <v>67056</v>
      </c>
      <c r="L108" s="266">
        <v>20</v>
      </c>
      <c r="M108" s="266">
        <v>20</v>
      </c>
      <c r="N108" s="267">
        <v>1646.4</v>
      </c>
      <c r="O108" s="268">
        <v>45658</v>
      </c>
      <c r="P108" s="262"/>
      <c r="Q108" s="262"/>
    </row>
    <row r="109" spans="1:17" ht="14.1" customHeight="1">
      <c r="A109" s="261" t="s">
        <v>735</v>
      </c>
      <c r="B109" s="262"/>
      <c r="C109" s="263" t="s">
        <v>733</v>
      </c>
      <c r="D109" s="264">
        <v>250000</v>
      </c>
      <c r="E109" s="264">
        <v>0</v>
      </c>
      <c r="F109" s="269">
        <v>201</v>
      </c>
      <c r="G109" s="261" t="s">
        <v>617</v>
      </c>
      <c r="H109" s="262"/>
      <c r="I109" s="262"/>
      <c r="J109" s="265">
        <v>2051</v>
      </c>
      <c r="K109" s="264">
        <v>67056</v>
      </c>
      <c r="L109" s="266">
        <v>1</v>
      </c>
      <c r="M109" s="266">
        <v>1</v>
      </c>
      <c r="N109" s="271">
        <v>12.96</v>
      </c>
      <c r="O109" s="268">
        <v>45658</v>
      </c>
      <c r="P109" s="262"/>
      <c r="Q109" s="262"/>
    </row>
    <row r="110" spans="1:17" ht="14.1" customHeight="1">
      <c r="A110" s="261" t="s">
        <v>736</v>
      </c>
      <c r="B110" s="262"/>
      <c r="C110" s="263" t="s">
        <v>733</v>
      </c>
      <c r="D110" s="264">
        <v>250000</v>
      </c>
      <c r="E110" s="264">
        <v>0</v>
      </c>
      <c r="F110" s="269">
        <v>201</v>
      </c>
      <c r="G110" s="261" t="s">
        <v>617</v>
      </c>
      <c r="H110" s="262"/>
      <c r="I110" s="262"/>
      <c r="J110" s="265">
        <v>2051</v>
      </c>
      <c r="K110" s="264">
        <v>67056</v>
      </c>
      <c r="L110" s="266">
        <v>20</v>
      </c>
      <c r="M110" s="266">
        <v>20</v>
      </c>
      <c r="N110" s="271">
        <v>138.96</v>
      </c>
      <c r="O110" s="268">
        <v>45658</v>
      </c>
      <c r="P110" s="262"/>
      <c r="Q110" s="262"/>
    </row>
    <row r="111" spans="1:17" ht="14.1" customHeight="1">
      <c r="A111" s="261" t="s">
        <v>737</v>
      </c>
      <c r="B111" s="262"/>
      <c r="C111" s="263" t="s">
        <v>631</v>
      </c>
      <c r="D111" s="264">
        <v>250000</v>
      </c>
      <c r="E111" s="264">
        <v>0</v>
      </c>
      <c r="F111" s="269">
        <v>201</v>
      </c>
      <c r="G111" s="261" t="s">
        <v>612</v>
      </c>
      <c r="H111" s="262"/>
      <c r="I111" s="262"/>
      <c r="J111" s="265">
        <v>2051</v>
      </c>
      <c r="K111" s="264">
        <v>36082</v>
      </c>
      <c r="L111" s="266">
        <v>1</v>
      </c>
      <c r="M111" s="266">
        <v>1</v>
      </c>
      <c r="N111" s="267">
        <v>39517.5</v>
      </c>
      <c r="O111" s="268">
        <v>45658</v>
      </c>
      <c r="P111" s="262"/>
      <c r="Q111" s="262"/>
    </row>
    <row r="112" spans="1:17" ht="14.1" customHeight="1">
      <c r="A112" s="261" t="s">
        <v>738</v>
      </c>
      <c r="B112" s="262"/>
      <c r="C112" s="263" t="s">
        <v>631</v>
      </c>
      <c r="D112" s="264">
        <v>250000</v>
      </c>
      <c r="E112" s="264">
        <v>0</v>
      </c>
      <c r="F112" s="269">
        <v>201</v>
      </c>
      <c r="G112" s="261" t="s">
        <v>612</v>
      </c>
      <c r="H112" s="262"/>
      <c r="I112" s="262"/>
      <c r="J112" s="265">
        <v>2051</v>
      </c>
      <c r="K112" s="264">
        <v>36082</v>
      </c>
      <c r="L112" s="266">
        <v>1</v>
      </c>
      <c r="M112" s="266">
        <v>1</v>
      </c>
      <c r="N112" s="267">
        <v>3880</v>
      </c>
      <c r="O112" s="268">
        <v>45658</v>
      </c>
      <c r="P112" s="262"/>
      <c r="Q112" s="262"/>
    </row>
    <row r="113" spans="1:17" ht="14.1" customHeight="1">
      <c r="A113" s="261" t="s">
        <v>739</v>
      </c>
      <c r="B113" s="262"/>
      <c r="C113" s="263" t="s">
        <v>611</v>
      </c>
      <c r="D113" s="263" t="s">
        <v>740</v>
      </c>
      <c r="E113" s="264">
        <v>0</v>
      </c>
      <c r="F113" s="264">
        <v>1031</v>
      </c>
      <c r="G113" s="261" t="s">
        <v>612</v>
      </c>
      <c r="H113" s="262"/>
      <c r="I113" s="262"/>
      <c r="J113" s="265">
        <v>2382328</v>
      </c>
      <c r="K113" s="264">
        <v>6702</v>
      </c>
      <c r="L113" s="266">
        <v>1</v>
      </c>
      <c r="M113" s="266">
        <v>0.5</v>
      </c>
      <c r="N113" s="267">
        <v>8048.16</v>
      </c>
      <c r="O113" s="268">
        <v>45658</v>
      </c>
      <c r="P113" s="262"/>
      <c r="Q113" s="262"/>
    </row>
    <row r="114" spans="1:17" ht="14.1" customHeight="1">
      <c r="A114" s="261" t="s">
        <v>741</v>
      </c>
      <c r="B114" s="262"/>
      <c r="C114" s="263" t="s">
        <v>611</v>
      </c>
      <c r="D114" s="263" t="s">
        <v>740</v>
      </c>
      <c r="E114" s="264">
        <v>0</v>
      </c>
      <c r="F114" s="264">
        <v>1031</v>
      </c>
      <c r="G114" s="261" t="s">
        <v>612</v>
      </c>
      <c r="H114" s="262"/>
      <c r="I114" s="262"/>
      <c r="J114" s="265">
        <v>2382328</v>
      </c>
      <c r="K114" s="264">
        <v>6702</v>
      </c>
      <c r="L114" s="266">
        <v>1</v>
      </c>
      <c r="M114" s="266">
        <v>0.94299999999999995</v>
      </c>
      <c r="N114" s="267">
        <v>19265.48</v>
      </c>
      <c r="O114" s="268">
        <v>45658</v>
      </c>
      <c r="P114" s="262"/>
      <c r="Q114" s="262"/>
    </row>
    <row r="115" spans="1:17" ht="14.1" customHeight="1">
      <c r="A115" s="261" t="s">
        <v>742</v>
      </c>
      <c r="B115" s="262"/>
      <c r="C115" s="263" t="s">
        <v>611</v>
      </c>
      <c r="D115" s="263" t="s">
        <v>740</v>
      </c>
      <c r="E115" s="264">
        <v>0</v>
      </c>
      <c r="F115" s="264">
        <v>1031</v>
      </c>
      <c r="G115" s="261" t="s">
        <v>612</v>
      </c>
      <c r="H115" s="262"/>
      <c r="I115" s="262"/>
      <c r="J115" s="265">
        <v>2382328</v>
      </c>
      <c r="K115" s="264">
        <v>6702</v>
      </c>
      <c r="L115" s="266">
        <v>1</v>
      </c>
      <c r="M115" s="266">
        <v>1</v>
      </c>
      <c r="N115" s="267">
        <v>19650</v>
      </c>
      <c r="O115" s="268">
        <v>45658</v>
      </c>
      <c r="P115" s="262"/>
      <c r="Q115" s="262"/>
    </row>
    <row r="116" spans="1:17" ht="14.1" customHeight="1">
      <c r="A116" s="261" t="s">
        <v>743</v>
      </c>
      <c r="B116" s="262"/>
      <c r="C116" s="263" t="s">
        <v>611</v>
      </c>
      <c r="D116" s="263" t="s">
        <v>740</v>
      </c>
      <c r="E116" s="264">
        <v>0</v>
      </c>
      <c r="F116" s="264">
        <v>1031</v>
      </c>
      <c r="G116" s="261" t="s">
        <v>612</v>
      </c>
      <c r="H116" s="262"/>
      <c r="I116" s="262"/>
      <c r="J116" s="265">
        <v>2382328</v>
      </c>
      <c r="K116" s="264">
        <v>6702</v>
      </c>
      <c r="L116" s="266">
        <v>1</v>
      </c>
      <c r="M116" s="266">
        <v>1</v>
      </c>
      <c r="N116" s="267">
        <v>9363.1200000000008</v>
      </c>
      <c r="O116" s="268">
        <v>45658</v>
      </c>
      <c r="P116" s="262"/>
      <c r="Q116" s="262"/>
    </row>
    <row r="117" spans="1:17" ht="14.1" customHeight="1">
      <c r="A117" s="261" t="s">
        <v>744</v>
      </c>
      <c r="B117" s="262"/>
      <c r="C117" s="263" t="s">
        <v>611</v>
      </c>
      <c r="D117" s="263" t="s">
        <v>740</v>
      </c>
      <c r="E117" s="264">
        <v>0</v>
      </c>
      <c r="F117" s="264">
        <v>1031</v>
      </c>
      <c r="G117" s="261" t="s">
        <v>612</v>
      </c>
      <c r="H117" s="262"/>
      <c r="I117" s="262"/>
      <c r="J117" s="265">
        <v>2382328</v>
      </c>
      <c r="K117" s="264">
        <v>6702</v>
      </c>
      <c r="L117" s="266">
        <v>1</v>
      </c>
      <c r="M117" s="266">
        <v>1</v>
      </c>
      <c r="N117" s="267">
        <v>28435.86</v>
      </c>
      <c r="O117" s="268">
        <v>45658</v>
      </c>
      <c r="P117" s="262"/>
      <c r="Q117" s="262"/>
    </row>
    <row r="118" spans="1:17" ht="14.1" customHeight="1">
      <c r="A118" s="261" t="s">
        <v>745</v>
      </c>
      <c r="B118" s="262"/>
      <c r="C118" s="263" t="s">
        <v>611</v>
      </c>
      <c r="D118" s="263" t="s">
        <v>740</v>
      </c>
      <c r="E118" s="264">
        <v>0</v>
      </c>
      <c r="F118" s="264">
        <v>1031</v>
      </c>
      <c r="G118" s="261" t="s">
        <v>612</v>
      </c>
      <c r="H118" s="262"/>
      <c r="I118" s="262"/>
      <c r="J118" s="265">
        <v>2382328</v>
      </c>
      <c r="K118" s="264">
        <v>6702</v>
      </c>
      <c r="L118" s="266">
        <v>1</v>
      </c>
      <c r="M118" s="266">
        <v>1</v>
      </c>
      <c r="N118" s="267">
        <v>9360</v>
      </c>
      <c r="O118" s="268">
        <v>45658</v>
      </c>
      <c r="P118" s="262"/>
      <c r="Q118" s="262"/>
    </row>
    <row r="119" spans="1:17" ht="14.1" customHeight="1">
      <c r="A119" s="261" t="s">
        <v>746</v>
      </c>
      <c r="B119" s="262"/>
      <c r="C119" s="263" t="s">
        <v>611</v>
      </c>
      <c r="D119" s="263" t="s">
        <v>740</v>
      </c>
      <c r="E119" s="264">
        <v>0</v>
      </c>
      <c r="F119" s="264">
        <v>1031</v>
      </c>
      <c r="G119" s="261" t="s">
        <v>612</v>
      </c>
      <c r="H119" s="262"/>
      <c r="I119" s="262"/>
      <c r="J119" s="265">
        <v>2382328</v>
      </c>
      <c r="K119" s="264">
        <v>6702</v>
      </c>
      <c r="L119" s="266">
        <v>1</v>
      </c>
      <c r="M119" s="266">
        <v>1</v>
      </c>
      <c r="N119" s="267">
        <v>26010</v>
      </c>
      <c r="O119" s="268">
        <v>45658</v>
      </c>
      <c r="P119" s="262"/>
      <c r="Q119" s="262"/>
    </row>
    <row r="120" spans="1:17" ht="14.1" customHeight="1">
      <c r="A120" s="261" t="s">
        <v>747</v>
      </c>
      <c r="B120" s="262"/>
      <c r="C120" s="263" t="s">
        <v>611</v>
      </c>
      <c r="D120" s="263" t="s">
        <v>740</v>
      </c>
      <c r="E120" s="264">
        <v>0</v>
      </c>
      <c r="F120" s="264">
        <v>1031</v>
      </c>
      <c r="G120" s="261" t="s">
        <v>612</v>
      </c>
      <c r="H120" s="262"/>
      <c r="I120" s="262"/>
      <c r="J120" s="265">
        <v>2382328</v>
      </c>
      <c r="K120" s="264">
        <v>6702</v>
      </c>
      <c r="L120" s="266">
        <v>1</v>
      </c>
      <c r="M120" s="266">
        <v>1</v>
      </c>
      <c r="N120" s="267">
        <v>4680</v>
      </c>
      <c r="O120" s="268">
        <v>45658</v>
      </c>
      <c r="P120" s="262"/>
      <c r="Q120" s="262"/>
    </row>
    <row r="121" spans="1:17" ht="14.1" customHeight="1">
      <c r="A121" s="261" t="s">
        <v>748</v>
      </c>
      <c r="B121" s="262"/>
      <c r="C121" s="263" t="s">
        <v>749</v>
      </c>
      <c r="D121" s="263" t="s">
        <v>750</v>
      </c>
      <c r="E121" s="264">
        <v>0</v>
      </c>
      <c r="F121" s="269">
        <v>201</v>
      </c>
      <c r="G121" s="261" t="s">
        <v>617</v>
      </c>
      <c r="H121" s="262"/>
      <c r="I121" s="262"/>
      <c r="J121" s="265">
        <v>2051</v>
      </c>
      <c r="K121" s="264">
        <v>36086</v>
      </c>
      <c r="L121" s="266">
        <v>1</v>
      </c>
      <c r="M121" s="266">
        <v>0.35</v>
      </c>
      <c r="N121" s="267">
        <v>17010</v>
      </c>
      <c r="O121" s="268">
        <v>45658</v>
      </c>
      <c r="P121" s="262"/>
      <c r="Q121" s="262"/>
    </row>
    <row r="122" spans="1:17" ht="14.1" customHeight="1">
      <c r="A122" s="261" t="s">
        <v>751</v>
      </c>
      <c r="B122" s="262"/>
      <c r="C122" s="263" t="s">
        <v>749</v>
      </c>
      <c r="D122" s="263" t="s">
        <v>750</v>
      </c>
      <c r="E122" s="264">
        <v>0</v>
      </c>
      <c r="F122" s="269">
        <v>201</v>
      </c>
      <c r="G122" s="261" t="s">
        <v>617</v>
      </c>
      <c r="H122" s="262"/>
      <c r="I122" s="262"/>
      <c r="J122" s="265">
        <v>2051</v>
      </c>
      <c r="K122" s="264">
        <v>36086</v>
      </c>
      <c r="L122" s="266">
        <v>1</v>
      </c>
      <c r="M122" s="266">
        <v>0.65</v>
      </c>
      <c r="N122" s="267">
        <v>10094.5</v>
      </c>
      <c r="O122" s="268">
        <v>45658</v>
      </c>
      <c r="P122" s="262"/>
      <c r="Q122" s="262"/>
    </row>
    <row r="123" spans="1:17" ht="14.1" customHeight="1">
      <c r="A123" s="261" t="s">
        <v>752</v>
      </c>
      <c r="B123" s="262"/>
      <c r="C123" s="263" t="s">
        <v>749</v>
      </c>
      <c r="D123" s="263" t="s">
        <v>750</v>
      </c>
      <c r="E123" s="264">
        <v>0</v>
      </c>
      <c r="F123" s="269">
        <v>201</v>
      </c>
      <c r="G123" s="261" t="s">
        <v>617</v>
      </c>
      <c r="H123" s="262"/>
      <c r="I123" s="262"/>
      <c r="J123" s="265">
        <v>2051</v>
      </c>
      <c r="K123" s="264">
        <v>36086</v>
      </c>
      <c r="L123" s="266">
        <v>1</v>
      </c>
      <c r="M123" s="266">
        <v>0.35</v>
      </c>
      <c r="N123" s="267">
        <v>3685.5</v>
      </c>
      <c r="O123" s="268">
        <v>45658</v>
      </c>
      <c r="P123" s="262"/>
      <c r="Q123" s="262"/>
    </row>
    <row r="124" spans="1:17" ht="14.1" customHeight="1">
      <c r="A124" s="261" t="s">
        <v>753</v>
      </c>
      <c r="B124" s="262"/>
      <c r="C124" s="263" t="s">
        <v>749</v>
      </c>
      <c r="D124" s="263" t="s">
        <v>750</v>
      </c>
      <c r="E124" s="264">
        <v>0</v>
      </c>
      <c r="F124" s="269">
        <v>201</v>
      </c>
      <c r="G124" s="261" t="s">
        <v>617</v>
      </c>
      <c r="H124" s="262"/>
      <c r="I124" s="262"/>
      <c r="J124" s="265">
        <v>2051</v>
      </c>
      <c r="K124" s="264">
        <v>36086</v>
      </c>
      <c r="L124" s="266">
        <v>1</v>
      </c>
      <c r="M124" s="266">
        <v>0.65</v>
      </c>
      <c r="N124" s="267">
        <v>13419.9</v>
      </c>
      <c r="O124" s="268">
        <v>45658</v>
      </c>
      <c r="P124" s="262"/>
      <c r="Q124" s="262"/>
    </row>
    <row r="125" spans="1:17" ht="14.1" customHeight="1">
      <c r="A125" s="261" t="s">
        <v>754</v>
      </c>
      <c r="B125" s="262"/>
      <c r="C125" s="263" t="s">
        <v>654</v>
      </c>
      <c r="D125" s="264">
        <v>250000</v>
      </c>
      <c r="E125" s="264">
        <v>0</v>
      </c>
      <c r="F125" s="264">
        <v>2501</v>
      </c>
      <c r="G125" s="261" t="s">
        <v>617</v>
      </c>
      <c r="H125" s="262"/>
      <c r="I125" s="262"/>
      <c r="J125" s="265">
        <v>2051</v>
      </c>
      <c r="K125" s="264">
        <v>67051</v>
      </c>
      <c r="L125" s="266">
        <v>1</v>
      </c>
      <c r="M125" s="266">
        <v>1</v>
      </c>
      <c r="N125" s="267">
        <v>3600</v>
      </c>
      <c r="O125" s="268">
        <v>45658</v>
      </c>
      <c r="P125" s="262"/>
      <c r="Q125" s="262"/>
    </row>
    <row r="126" spans="1:17" ht="14.1" customHeight="1">
      <c r="A126" s="261" t="s">
        <v>755</v>
      </c>
      <c r="B126" s="262"/>
      <c r="C126" s="263" t="s">
        <v>654</v>
      </c>
      <c r="D126" s="264">
        <v>250000</v>
      </c>
      <c r="E126" s="264">
        <v>0</v>
      </c>
      <c r="F126" s="264">
        <v>2501</v>
      </c>
      <c r="G126" s="261" t="s">
        <v>617</v>
      </c>
      <c r="H126" s="262"/>
      <c r="I126" s="262"/>
      <c r="J126" s="265">
        <v>2051</v>
      </c>
      <c r="K126" s="264">
        <v>67051</v>
      </c>
      <c r="L126" s="266">
        <v>8</v>
      </c>
      <c r="M126" s="266">
        <v>3.4449999999999998</v>
      </c>
      <c r="N126" s="267">
        <v>3789.5</v>
      </c>
      <c r="O126" s="268">
        <v>45658</v>
      </c>
      <c r="P126" s="262"/>
      <c r="Q126" s="262"/>
    </row>
    <row r="127" spans="1:17" ht="14.1" customHeight="1">
      <c r="A127" s="261" t="s">
        <v>756</v>
      </c>
      <c r="B127" s="262"/>
      <c r="C127" s="263" t="s">
        <v>654</v>
      </c>
      <c r="D127" s="264">
        <v>250000</v>
      </c>
      <c r="E127" s="264">
        <v>0</v>
      </c>
      <c r="F127" s="264">
        <v>2501</v>
      </c>
      <c r="G127" s="261" t="s">
        <v>617</v>
      </c>
      <c r="H127" s="262"/>
      <c r="I127" s="262"/>
      <c r="J127" s="265">
        <v>2051</v>
      </c>
      <c r="K127" s="264">
        <v>67051</v>
      </c>
      <c r="L127" s="266">
        <v>0.5</v>
      </c>
      <c r="M127" s="266">
        <v>0.31</v>
      </c>
      <c r="N127" s="271">
        <v>262.88</v>
      </c>
      <c r="O127" s="268">
        <v>45658</v>
      </c>
      <c r="P127" s="262"/>
      <c r="Q127" s="262"/>
    </row>
    <row r="128" spans="1:17" ht="14.1" customHeight="1">
      <c r="A128" s="261" t="s">
        <v>757</v>
      </c>
      <c r="B128" s="262"/>
      <c r="C128" s="263" t="s">
        <v>654</v>
      </c>
      <c r="D128" s="264">
        <v>250000</v>
      </c>
      <c r="E128" s="264">
        <v>0</v>
      </c>
      <c r="F128" s="264">
        <v>2501</v>
      </c>
      <c r="G128" s="261" t="s">
        <v>617</v>
      </c>
      <c r="H128" s="262"/>
      <c r="I128" s="262"/>
      <c r="J128" s="265">
        <v>2051</v>
      </c>
      <c r="K128" s="264">
        <v>67051</v>
      </c>
      <c r="L128" s="266">
        <v>4</v>
      </c>
      <c r="M128" s="266">
        <v>2</v>
      </c>
      <c r="N128" s="267">
        <v>1696</v>
      </c>
      <c r="O128" s="268">
        <v>45658</v>
      </c>
      <c r="P128" s="262"/>
      <c r="Q128" s="262"/>
    </row>
    <row r="129" spans="1:17" ht="14.1" customHeight="1">
      <c r="A129" s="261" t="s">
        <v>758</v>
      </c>
      <c r="B129" s="262"/>
      <c r="C129" s="263" t="s">
        <v>654</v>
      </c>
      <c r="D129" s="264">
        <v>250000</v>
      </c>
      <c r="E129" s="264">
        <v>0</v>
      </c>
      <c r="F129" s="264">
        <v>2501</v>
      </c>
      <c r="G129" s="261" t="s">
        <v>617</v>
      </c>
      <c r="H129" s="262"/>
      <c r="I129" s="262"/>
      <c r="J129" s="265">
        <v>2051</v>
      </c>
      <c r="K129" s="264">
        <v>67051</v>
      </c>
      <c r="L129" s="266">
        <v>10</v>
      </c>
      <c r="M129" s="266">
        <v>7</v>
      </c>
      <c r="N129" s="267">
        <v>5936</v>
      </c>
      <c r="O129" s="268">
        <v>45658</v>
      </c>
      <c r="P129" s="262"/>
      <c r="Q129" s="262"/>
    </row>
    <row r="130" spans="1:17" ht="14.1" customHeight="1">
      <c r="A130" s="261" t="s">
        <v>759</v>
      </c>
      <c r="B130" s="262"/>
      <c r="C130" s="263" t="s">
        <v>654</v>
      </c>
      <c r="D130" s="264">
        <v>250000</v>
      </c>
      <c r="E130" s="264">
        <v>0</v>
      </c>
      <c r="F130" s="264">
        <v>2501</v>
      </c>
      <c r="G130" s="261" t="s">
        <v>617</v>
      </c>
      <c r="H130" s="262"/>
      <c r="I130" s="262"/>
      <c r="J130" s="265">
        <v>2051</v>
      </c>
      <c r="K130" s="264">
        <v>67051</v>
      </c>
      <c r="L130" s="266">
        <v>4</v>
      </c>
      <c r="M130" s="266">
        <v>4</v>
      </c>
      <c r="N130" s="267">
        <v>3392</v>
      </c>
      <c r="O130" s="268">
        <v>45658</v>
      </c>
      <c r="P130" s="262"/>
      <c r="Q130" s="262"/>
    </row>
    <row r="131" spans="1:17" ht="14.1" customHeight="1">
      <c r="A131" s="261" t="s">
        <v>760</v>
      </c>
      <c r="B131" s="262"/>
      <c r="C131" s="263" t="s">
        <v>654</v>
      </c>
      <c r="D131" s="264">
        <v>250000</v>
      </c>
      <c r="E131" s="264">
        <v>0</v>
      </c>
      <c r="F131" s="264">
        <v>2501</v>
      </c>
      <c r="G131" s="261" t="s">
        <v>617</v>
      </c>
      <c r="H131" s="262"/>
      <c r="I131" s="262"/>
      <c r="J131" s="265">
        <v>2051</v>
      </c>
      <c r="K131" s="264">
        <v>67051</v>
      </c>
      <c r="L131" s="266">
        <v>0.5</v>
      </c>
      <c r="M131" s="266">
        <v>0.5</v>
      </c>
      <c r="N131" s="271">
        <v>424</v>
      </c>
      <c r="O131" s="268">
        <v>45658</v>
      </c>
      <c r="P131" s="262"/>
      <c r="Q131" s="262"/>
    </row>
    <row r="132" spans="1:17" ht="14.1" customHeight="1">
      <c r="A132" s="261" t="s">
        <v>761</v>
      </c>
      <c r="B132" s="262"/>
      <c r="C132" s="263" t="s">
        <v>654</v>
      </c>
      <c r="D132" s="264">
        <v>250000</v>
      </c>
      <c r="E132" s="264">
        <v>0</v>
      </c>
      <c r="F132" s="264">
        <v>2501</v>
      </c>
      <c r="G132" s="261" t="s">
        <v>617</v>
      </c>
      <c r="H132" s="262"/>
      <c r="I132" s="262"/>
      <c r="J132" s="265">
        <v>2051</v>
      </c>
      <c r="K132" s="264">
        <v>67051</v>
      </c>
      <c r="L132" s="266">
        <v>0.5</v>
      </c>
      <c r="M132" s="266">
        <v>0.5</v>
      </c>
      <c r="N132" s="271">
        <v>469</v>
      </c>
      <c r="O132" s="268">
        <v>45658</v>
      </c>
      <c r="P132" s="262"/>
      <c r="Q132" s="262"/>
    </row>
    <row r="133" spans="1:17" ht="14.1" customHeight="1">
      <c r="A133" s="261" t="s">
        <v>762</v>
      </c>
      <c r="B133" s="262"/>
      <c r="C133" s="263" t="s">
        <v>654</v>
      </c>
      <c r="D133" s="264">
        <v>250000</v>
      </c>
      <c r="E133" s="264">
        <v>0</v>
      </c>
      <c r="F133" s="264">
        <v>2501</v>
      </c>
      <c r="G133" s="261" t="s">
        <v>617</v>
      </c>
      <c r="H133" s="262"/>
      <c r="I133" s="262"/>
      <c r="J133" s="265">
        <v>2051</v>
      </c>
      <c r="K133" s="264">
        <v>67051</v>
      </c>
      <c r="L133" s="266">
        <v>0.5</v>
      </c>
      <c r="M133" s="266">
        <v>0.5</v>
      </c>
      <c r="N133" s="271">
        <v>469</v>
      </c>
      <c r="O133" s="268">
        <v>45658</v>
      </c>
      <c r="P133" s="262"/>
      <c r="Q133" s="262"/>
    </row>
    <row r="134" spans="1:17" ht="14.1" customHeight="1">
      <c r="A134" s="261" t="s">
        <v>763</v>
      </c>
      <c r="B134" s="262"/>
      <c r="C134" s="263" t="s">
        <v>654</v>
      </c>
      <c r="D134" s="264">
        <v>250000</v>
      </c>
      <c r="E134" s="264">
        <v>0</v>
      </c>
      <c r="F134" s="264">
        <v>2501</v>
      </c>
      <c r="G134" s="261" t="s">
        <v>617</v>
      </c>
      <c r="H134" s="262"/>
      <c r="I134" s="262"/>
      <c r="J134" s="265">
        <v>2051</v>
      </c>
      <c r="K134" s="264">
        <v>67051</v>
      </c>
      <c r="L134" s="266">
        <v>7</v>
      </c>
      <c r="M134" s="266">
        <v>5.5</v>
      </c>
      <c r="N134" s="267">
        <v>4664</v>
      </c>
      <c r="O134" s="268">
        <v>45658</v>
      </c>
      <c r="P134" s="262"/>
      <c r="Q134" s="262"/>
    </row>
    <row r="135" spans="1:17" ht="14.1" customHeight="1">
      <c r="A135" s="261" t="s">
        <v>764</v>
      </c>
      <c r="B135" s="262"/>
      <c r="C135" s="263" t="s">
        <v>654</v>
      </c>
      <c r="D135" s="264">
        <v>250000</v>
      </c>
      <c r="E135" s="264">
        <v>0</v>
      </c>
      <c r="F135" s="264">
        <v>2501</v>
      </c>
      <c r="G135" s="261" t="s">
        <v>617</v>
      </c>
      <c r="H135" s="262"/>
      <c r="I135" s="262"/>
      <c r="J135" s="265">
        <v>2051</v>
      </c>
      <c r="K135" s="264">
        <v>67051</v>
      </c>
      <c r="L135" s="266">
        <v>1</v>
      </c>
      <c r="M135" s="266">
        <v>1</v>
      </c>
      <c r="N135" s="271">
        <v>848</v>
      </c>
      <c r="O135" s="268">
        <v>45658</v>
      </c>
      <c r="P135" s="262"/>
      <c r="Q135" s="262"/>
    </row>
    <row r="136" spans="1:17" ht="14.1" customHeight="1">
      <c r="A136" s="261" t="s">
        <v>765</v>
      </c>
      <c r="B136" s="262"/>
      <c r="C136" s="263" t="s">
        <v>654</v>
      </c>
      <c r="D136" s="264">
        <v>250000</v>
      </c>
      <c r="E136" s="264">
        <v>0</v>
      </c>
      <c r="F136" s="264">
        <v>2501</v>
      </c>
      <c r="G136" s="261" t="s">
        <v>617</v>
      </c>
      <c r="H136" s="262"/>
      <c r="I136" s="262"/>
      <c r="J136" s="265">
        <v>2051</v>
      </c>
      <c r="K136" s="264">
        <v>67051</v>
      </c>
      <c r="L136" s="266">
        <v>1</v>
      </c>
      <c r="M136" s="266">
        <v>1</v>
      </c>
      <c r="N136" s="271">
        <v>848</v>
      </c>
      <c r="O136" s="268">
        <v>45658</v>
      </c>
      <c r="P136" s="262"/>
      <c r="Q136" s="262"/>
    </row>
    <row r="137" spans="1:17" ht="14.1" customHeight="1">
      <c r="A137" s="261" t="s">
        <v>766</v>
      </c>
      <c r="B137" s="262"/>
      <c r="C137" s="263" t="s">
        <v>654</v>
      </c>
      <c r="D137" s="264">
        <v>250000</v>
      </c>
      <c r="E137" s="264">
        <v>0</v>
      </c>
      <c r="F137" s="264">
        <v>2201</v>
      </c>
      <c r="G137" s="261" t="s">
        <v>617</v>
      </c>
      <c r="H137" s="262"/>
      <c r="I137" s="262"/>
      <c r="J137" s="265">
        <v>2051</v>
      </c>
      <c r="K137" s="264">
        <v>67052</v>
      </c>
      <c r="L137" s="266">
        <v>5</v>
      </c>
      <c r="M137" s="266">
        <v>0.5</v>
      </c>
      <c r="N137" s="271">
        <v>550</v>
      </c>
      <c r="O137" s="268">
        <v>45658</v>
      </c>
      <c r="P137" s="262"/>
      <c r="Q137" s="262"/>
    </row>
    <row r="138" spans="1:17" ht="14.1" customHeight="1">
      <c r="A138" s="261" t="s">
        <v>767</v>
      </c>
      <c r="B138" s="262"/>
      <c r="C138" s="263" t="s">
        <v>654</v>
      </c>
      <c r="D138" s="264">
        <v>250000</v>
      </c>
      <c r="E138" s="264">
        <v>0</v>
      </c>
      <c r="F138" s="264">
        <v>2201</v>
      </c>
      <c r="G138" s="261" t="s">
        <v>617</v>
      </c>
      <c r="H138" s="262"/>
      <c r="I138" s="262"/>
      <c r="J138" s="265">
        <v>2051</v>
      </c>
      <c r="K138" s="264">
        <v>67052</v>
      </c>
      <c r="L138" s="266">
        <v>1</v>
      </c>
      <c r="M138" s="266">
        <v>1</v>
      </c>
      <c r="N138" s="271">
        <v>938</v>
      </c>
      <c r="O138" s="268">
        <v>45658</v>
      </c>
      <c r="P138" s="262"/>
      <c r="Q138" s="262"/>
    </row>
    <row r="139" spans="1:17" ht="14.1" customHeight="1">
      <c r="A139" s="261" t="s">
        <v>768</v>
      </c>
      <c r="B139" s="262"/>
      <c r="C139" s="263" t="s">
        <v>654</v>
      </c>
      <c r="D139" s="264">
        <v>250000</v>
      </c>
      <c r="E139" s="264">
        <v>0</v>
      </c>
      <c r="F139" s="264">
        <v>2201</v>
      </c>
      <c r="G139" s="261" t="s">
        <v>617</v>
      </c>
      <c r="H139" s="262"/>
      <c r="I139" s="262"/>
      <c r="J139" s="265">
        <v>2051</v>
      </c>
      <c r="K139" s="264">
        <v>67052</v>
      </c>
      <c r="L139" s="266">
        <v>1</v>
      </c>
      <c r="M139" s="266">
        <v>1</v>
      </c>
      <c r="N139" s="271">
        <v>938</v>
      </c>
      <c r="O139" s="268">
        <v>45658</v>
      </c>
      <c r="P139" s="262"/>
      <c r="Q139" s="262"/>
    </row>
    <row r="140" spans="1:17" ht="14.1" customHeight="1">
      <c r="A140" s="261" t="s">
        <v>769</v>
      </c>
      <c r="B140" s="262"/>
      <c r="C140" s="263" t="s">
        <v>654</v>
      </c>
      <c r="D140" s="264">
        <v>250000</v>
      </c>
      <c r="E140" s="264">
        <v>0</v>
      </c>
      <c r="F140" s="264">
        <v>2201</v>
      </c>
      <c r="G140" s="261" t="s">
        <v>617</v>
      </c>
      <c r="H140" s="262"/>
      <c r="I140" s="262"/>
      <c r="J140" s="265">
        <v>2051</v>
      </c>
      <c r="K140" s="264">
        <v>67052</v>
      </c>
      <c r="L140" s="266">
        <v>1</v>
      </c>
      <c r="M140" s="266">
        <v>1</v>
      </c>
      <c r="N140" s="271">
        <v>848</v>
      </c>
      <c r="O140" s="268">
        <v>45658</v>
      </c>
      <c r="P140" s="262"/>
      <c r="Q140" s="262"/>
    </row>
    <row r="141" spans="1:17" ht="14.1" customHeight="1">
      <c r="A141" s="261" t="s">
        <v>770</v>
      </c>
      <c r="B141" s="262"/>
      <c r="C141" s="263" t="s">
        <v>654</v>
      </c>
      <c r="D141" s="264">
        <v>250000</v>
      </c>
      <c r="E141" s="264">
        <v>0</v>
      </c>
      <c r="F141" s="264">
        <v>2201</v>
      </c>
      <c r="G141" s="261" t="s">
        <v>617</v>
      </c>
      <c r="H141" s="262"/>
      <c r="I141" s="262"/>
      <c r="J141" s="265">
        <v>2051</v>
      </c>
      <c r="K141" s="264">
        <v>67052</v>
      </c>
      <c r="L141" s="266">
        <v>3</v>
      </c>
      <c r="M141" s="266">
        <v>0.5</v>
      </c>
      <c r="N141" s="271">
        <v>424</v>
      </c>
      <c r="O141" s="268">
        <v>45658</v>
      </c>
      <c r="P141" s="262"/>
      <c r="Q141" s="262"/>
    </row>
    <row r="142" spans="1:17" ht="14.1" customHeight="1">
      <c r="A142" s="261" t="s">
        <v>771</v>
      </c>
      <c r="B142" s="262"/>
      <c r="C142" s="263" t="s">
        <v>654</v>
      </c>
      <c r="D142" s="264">
        <v>250000</v>
      </c>
      <c r="E142" s="264">
        <v>0</v>
      </c>
      <c r="F142" s="264">
        <v>2201</v>
      </c>
      <c r="G142" s="261" t="s">
        <v>617</v>
      </c>
      <c r="H142" s="262"/>
      <c r="I142" s="262"/>
      <c r="J142" s="265">
        <v>2051</v>
      </c>
      <c r="K142" s="264">
        <v>67052</v>
      </c>
      <c r="L142" s="266">
        <v>3</v>
      </c>
      <c r="M142" s="266">
        <v>1.5</v>
      </c>
      <c r="N142" s="267">
        <v>1272</v>
      </c>
      <c r="O142" s="268">
        <v>45658</v>
      </c>
      <c r="P142" s="262"/>
      <c r="Q142" s="262"/>
    </row>
    <row r="143" spans="1:17" ht="14.1" customHeight="1">
      <c r="A143" s="261" t="s">
        <v>772</v>
      </c>
      <c r="B143" s="262"/>
      <c r="C143" s="263" t="s">
        <v>654</v>
      </c>
      <c r="D143" s="264">
        <v>250000</v>
      </c>
      <c r="E143" s="264">
        <v>0</v>
      </c>
      <c r="F143" s="264">
        <v>2201</v>
      </c>
      <c r="G143" s="261" t="s">
        <v>617</v>
      </c>
      <c r="H143" s="262"/>
      <c r="I143" s="262"/>
      <c r="J143" s="265">
        <v>2051</v>
      </c>
      <c r="K143" s="264">
        <v>67052</v>
      </c>
      <c r="L143" s="266">
        <v>1</v>
      </c>
      <c r="M143" s="266">
        <v>1</v>
      </c>
      <c r="N143" s="271">
        <v>216.92</v>
      </c>
      <c r="O143" s="268">
        <v>45658</v>
      </c>
      <c r="P143" s="262"/>
      <c r="Q143" s="262"/>
    </row>
    <row r="144" spans="1:17" ht="14.1" customHeight="1">
      <c r="A144" s="261" t="s">
        <v>773</v>
      </c>
      <c r="B144" s="262"/>
      <c r="C144" s="263" t="s">
        <v>654</v>
      </c>
      <c r="D144" s="264">
        <v>250000</v>
      </c>
      <c r="E144" s="264">
        <v>0</v>
      </c>
      <c r="F144" s="264">
        <v>5002</v>
      </c>
      <c r="G144" s="261" t="s">
        <v>612</v>
      </c>
      <c r="H144" s="262"/>
      <c r="I144" s="262"/>
      <c r="J144" s="265">
        <v>2051</v>
      </c>
      <c r="K144" s="264">
        <v>67053</v>
      </c>
      <c r="L144" s="266">
        <v>1</v>
      </c>
      <c r="M144" s="266">
        <v>1</v>
      </c>
      <c r="N144" s="271">
        <v>848</v>
      </c>
      <c r="O144" s="268">
        <v>45658</v>
      </c>
      <c r="P144" s="262"/>
      <c r="Q144" s="262"/>
    </row>
    <row r="145" spans="1:17" ht="14.1" customHeight="1">
      <c r="A145" s="261" t="s">
        <v>774</v>
      </c>
      <c r="B145" s="262"/>
      <c r="C145" s="263" t="s">
        <v>654</v>
      </c>
      <c r="D145" s="264">
        <v>250000</v>
      </c>
      <c r="E145" s="264">
        <v>0</v>
      </c>
      <c r="F145" s="264">
        <v>5002</v>
      </c>
      <c r="G145" s="261" t="s">
        <v>612</v>
      </c>
      <c r="H145" s="262"/>
      <c r="I145" s="262"/>
      <c r="J145" s="265">
        <v>2051</v>
      </c>
      <c r="K145" s="264">
        <v>67052</v>
      </c>
      <c r="L145" s="266">
        <v>2</v>
      </c>
      <c r="M145" s="266">
        <v>0.5</v>
      </c>
      <c r="N145" s="271">
        <v>424</v>
      </c>
      <c r="O145" s="268">
        <v>45658</v>
      </c>
      <c r="P145" s="262"/>
      <c r="Q145" s="262"/>
    </row>
    <row r="146" spans="1:17" ht="14.1" customHeight="1">
      <c r="A146" s="261" t="s">
        <v>775</v>
      </c>
      <c r="B146" s="262"/>
      <c r="C146" s="263" t="s">
        <v>654</v>
      </c>
      <c r="D146" s="264">
        <v>250000</v>
      </c>
      <c r="E146" s="264">
        <v>0</v>
      </c>
      <c r="F146" s="264">
        <v>5002</v>
      </c>
      <c r="G146" s="261" t="s">
        <v>612</v>
      </c>
      <c r="H146" s="262"/>
      <c r="I146" s="262"/>
      <c r="J146" s="265">
        <v>2051</v>
      </c>
      <c r="K146" s="264">
        <v>67052</v>
      </c>
      <c r="L146" s="266">
        <v>4</v>
      </c>
      <c r="M146" s="266">
        <v>3</v>
      </c>
      <c r="N146" s="267">
        <v>2544</v>
      </c>
      <c r="O146" s="268">
        <v>45658</v>
      </c>
      <c r="P146" s="262"/>
      <c r="Q146" s="262"/>
    </row>
    <row r="147" spans="1:17" ht="14.1" customHeight="1">
      <c r="A147" s="261" t="s">
        <v>776</v>
      </c>
      <c r="B147" s="262"/>
      <c r="C147" s="263" t="s">
        <v>654</v>
      </c>
      <c r="D147" s="264">
        <v>250000</v>
      </c>
      <c r="E147" s="264">
        <v>0</v>
      </c>
      <c r="F147" s="264">
        <v>5002</v>
      </c>
      <c r="G147" s="261" t="s">
        <v>612</v>
      </c>
      <c r="H147" s="262"/>
      <c r="I147" s="262"/>
      <c r="J147" s="265">
        <v>2051</v>
      </c>
      <c r="K147" s="264">
        <v>67052</v>
      </c>
      <c r="L147" s="266">
        <v>6</v>
      </c>
      <c r="M147" s="266">
        <v>6</v>
      </c>
      <c r="N147" s="267">
        <v>5088</v>
      </c>
      <c r="O147" s="268">
        <v>45658</v>
      </c>
      <c r="P147" s="262"/>
      <c r="Q147" s="262"/>
    </row>
    <row r="148" spans="1:17" ht="14.1" customHeight="1">
      <c r="A148" s="261" t="s">
        <v>777</v>
      </c>
      <c r="B148" s="262"/>
      <c r="C148" s="263" t="s">
        <v>654</v>
      </c>
      <c r="D148" s="264">
        <v>250000</v>
      </c>
      <c r="E148" s="264">
        <v>0</v>
      </c>
      <c r="F148" s="264">
        <v>5002</v>
      </c>
      <c r="G148" s="261" t="s">
        <v>612</v>
      </c>
      <c r="H148" s="262"/>
      <c r="I148" s="262"/>
      <c r="J148" s="265">
        <v>2051</v>
      </c>
      <c r="K148" s="264">
        <v>67052</v>
      </c>
      <c r="L148" s="266">
        <v>3</v>
      </c>
      <c r="M148" s="266">
        <v>3</v>
      </c>
      <c r="N148" s="267">
        <v>2544</v>
      </c>
      <c r="O148" s="268">
        <v>45658</v>
      </c>
      <c r="P148" s="262"/>
      <c r="Q148" s="262"/>
    </row>
    <row r="149" spans="1:17" ht="14.1" customHeight="1">
      <c r="A149" s="261" t="s">
        <v>778</v>
      </c>
      <c r="B149" s="262"/>
      <c r="C149" s="263" t="s">
        <v>654</v>
      </c>
      <c r="D149" s="264">
        <v>250000</v>
      </c>
      <c r="E149" s="264">
        <v>0</v>
      </c>
      <c r="F149" s="264">
        <v>5002</v>
      </c>
      <c r="G149" s="261" t="s">
        <v>612</v>
      </c>
      <c r="H149" s="262"/>
      <c r="I149" s="262"/>
      <c r="J149" s="265">
        <v>2051</v>
      </c>
      <c r="K149" s="264">
        <v>67052</v>
      </c>
      <c r="L149" s="266">
        <v>5</v>
      </c>
      <c r="M149" s="266">
        <v>3</v>
      </c>
      <c r="N149" s="267">
        <v>2544</v>
      </c>
      <c r="O149" s="268">
        <v>45658</v>
      </c>
      <c r="P149" s="262"/>
      <c r="Q149" s="262"/>
    </row>
    <row r="150" spans="1:17" ht="14.1" customHeight="1">
      <c r="A150" s="261" t="s">
        <v>779</v>
      </c>
      <c r="B150" s="262"/>
      <c r="C150" s="263" t="s">
        <v>654</v>
      </c>
      <c r="D150" s="264">
        <v>250000</v>
      </c>
      <c r="E150" s="264">
        <v>0</v>
      </c>
      <c r="F150" s="264">
        <v>5002</v>
      </c>
      <c r="G150" s="261" t="s">
        <v>612</v>
      </c>
      <c r="H150" s="262"/>
      <c r="I150" s="262"/>
      <c r="J150" s="265">
        <v>2051</v>
      </c>
      <c r="K150" s="264">
        <v>67052</v>
      </c>
      <c r="L150" s="266">
        <v>7.5</v>
      </c>
      <c r="M150" s="266">
        <v>3.89</v>
      </c>
      <c r="N150" s="267">
        <v>4279</v>
      </c>
      <c r="O150" s="268">
        <v>45658</v>
      </c>
      <c r="P150" s="262"/>
      <c r="Q150" s="262"/>
    </row>
    <row r="151" spans="1:17" ht="14.1" customHeight="1">
      <c r="A151" s="261" t="s">
        <v>780</v>
      </c>
      <c r="B151" s="262"/>
      <c r="C151" s="263" t="s">
        <v>781</v>
      </c>
      <c r="D151" s="263" t="s">
        <v>782</v>
      </c>
      <c r="E151" s="264">
        <v>0</v>
      </c>
      <c r="F151" s="269">
        <v>201</v>
      </c>
      <c r="G151" s="261" t="s">
        <v>617</v>
      </c>
      <c r="H151" s="262"/>
      <c r="I151" s="262"/>
      <c r="J151" s="265">
        <v>2051</v>
      </c>
      <c r="K151" s="264">
        <v>67051</v>
      </c>
      <c r="L151" s="266">
        <v>1</v>
      </c>
      <c r="M151" s="266">
        <v>1</v>
      </c>
      <c r="N151" s="271">
        <v>0</v>
      </c>
      <c r="O151" s="268">
        <v>45658</v>
      </c>
      <c r="P151" s="262"/>
      <c r="Q151" s="262"/>
    </row>
    <row r="152" spans="1:17" ht="14.1" customHeight="1">
      <c r="A152" s="261" t="s">
        <v>783</v>
      </c>
      <c r="B152" s="262"/>
      <c r="C152" s="263" t="s">
        <v>781</v>
      </c>
      <c r="D152" s="263" t="s">
        <v>782</v>
      </c>
      <c r="E152" s="264">
        <v>0</v>
      </c>
      <c r="F152" s="269">
        <v>201</v>
      </c>
      <c r="G152" s="261" t="s">
        <v>617</v>
      </c>
      <c r="H152" s="262"/>
      <c r="I152" s="262"/>
      <c r="J152" s="265">
        <v>2051</v>
      </c>
      <c r="K152" s="264">
        <v>67051</v>
      </c>
      <c r="L152" s="266">
        <v>1</v>
      </c>
      <c r="M152" s="266">
        <v>1</v>
      </c>
      <c r="N152" s="271">
        <v>0</v>
      </c>
      <c r="O152" s="268">
        <v>45658</v>
      </c>
      <c r="P152" s="262"/>
      <c r="Q152" s="262"/>
    </row>
    <row r="153" spans="1:17" ht="14.1" customHeight="1">
      <c r="A153" s="261" t="s">
        <v>784</v>
      </c>
      <c r="B153" s="262"/>
      <c r="C153" s="263" t="s">
        <v>781</v>
      </c>
      <c r="D153" s="263" t="s">
        <v>782</v>
      </c>
      <c r="E153" s="264">
        <v>0</v>
      </c>
      <c r="F153" s="269">
        <v>201</v>
      </c>
      <c r="G153" s="261" t="s">
        <v>617</v>
      </c>
      <c r="H153" s="262"/>
      <c r="I153" s="262"/>
      <c r="J153" s="265">
        <v>2051</v>
      </c>
      <c r="K153" s="264">
        <v>67051</v>
      </c>
      <c r="L153" s="266">
        <v>1</v>
      </c>
      <c r="M153" s="266">
        <v>1</v>
      </c>
      <c r="N153" s="271">
        <v>0</v>
      </c>
      <c r="O153" s="268">
        <v>45658</v>
      </c>
      <c r="P153" s="262"/>
      <c r="Q153" s="262"/>
    </row>
    <row r="154" spans="1:17" ht="14.1" customHeight="1">
      <c r="A154" s="261" t="s">
        <v>785</v>
      </c>
      <c r="B154" s="262"/>
      <c r="C154" s="263" t="s">
        <v>781</v>
      </c>
      <c r="D154" s="263" t="s">
        <v>782</v>
      </c>
      <c r="E154" s="264">
        <v>0</v>
      </c>
      <c r="F154" s="269">
        <v>201</v>
      </c>
      <c r="G154" s="261" t="s">
        <v>617</v>
      </c>
      <c r="H154" s="262"/>
      <c r="I154" s="262"/>
      <c r="J154" s="265">
        <v>2051</v>
      </c>
      <c r="K154" s="264">
        <v>67051</v>
      </c>
      <c r="L154" s="266">
        <v>1</v>
      </c>
      <c r="M154" s="266">
        <v>1</v>
      </c>
      <c r="N154" s="271">
        <v>0</v>
      </c>
      <c r="O154" s="268">
        <v>45658</v>
      </c>
      <c r="P154" s="262"/>
      <c r="Q154" s="262"/>
    </row>
    <row r="155" spans="1:17" ht="14.1" customHeight="1">
      <c r="A155" s="261" t="s">
        <v>786</v>
      </c>
      <c r="B155" s="262"/>
      <c r="C155" s="263" t="s">
        <v>781</v>
      </c>
      <c r="D155" s="263" t="s">
        <v>782</v>
      </c>
      <c r="E155" s="264">
        <v>0</v>
      </c>
      <c r="F155" s="269">
        <v>201</v>
      </c>
      <c r="G155" s="261" t="s">
        <v>617</v>
      </c>
      <c r="H155" s="262"/>
      <c r="I155" s="262"/>
      <c r="J155" s="265">
        <v>2051</v>
      </c>
      <c r="K155" s="264">
        <v>67051</v>
      </c>
      <c r="L155" s="266">
        <v>1</v>
      </c>
      <c r="M155" s="266">
        <v>1</v>
      </c>
      <c r="N155" s="271">
        <v>0</v>
      </c>
      <c r="O155" s="268">
        <v>45658</v>
      </c>
      <c r="P155" s="262"/>
      <c r="Q155" s="262"/>
    </row>
    <row r="156" spans="1:17" ht="14.1" customHeight="1">
      <c r="A156" s="261" t="s">
        <v>787</v>
      </c>
      <c r="B156" s="262"/>
      <c r="C156" s="263" t="s">
        <v>781</v>
      </c>
      <c r="D156" s="263" t="s">
        <v>782</v>
      </c>
      <c r="E156" s="264">
        <v>0</v>
      </c>
      <c r="F156" s="269">
        <v>201</v>
      </c>
      <c r="G156" s="261" t="s">
        <v>617</v>
      </c>
      <c r="H156" s="262"/>
      <c r="I156" s="262"/>
      <c r="J156" s="265">
        <v>2051</v>
      </c>
      <c r="K156" s="264">
        <v>67051</v>
      </c>
      <c r="L156" s="266">
        <v>1</v>
      </c>
      <c r="M156" s="266">
        <v>1</v>
      </c>
      <c r="N156" s="271">
        <v>0</v>
      </c>
      <c r="O156" s="268">
        <v>45658</v>
      </c>
      <c r="P156" s="262"/>
      <c r="Q156" s="262"/>
    </row>
    <row r="157" spans="1:17" ht="14.1" customHeight="1">
      <c r="A157" s="261" t="s">
        <v>788</v>
      </c>
      <c r="B157" s="262"/>
      <c r="C157" s="263" t="s">
        <v>781</v>
      </c>
      <c r="D157" s="263" t="s">
        <v>782</v>
      </c>
      <c r="E157" s="264">
        <v>0</v>
      </c>
      <c r="F157" s="269">
        <v>201</v>
      </c>
      <c r="G157" s="261" t="s">
        <v>617</v>
      </c>
      <c r="H157" s="262"/>
      <c r="I157" s="262"/>
      <c r="J157" s="265">
        <v>2051</v>
      </c>
      <c r="K157" s="264">
        <v>67051</v>
      </c>
      <c r="L157" s="266">
        <v>6</v>
      </c>
      <c r="M157" s="266">
        <v>2</v>
      </c>
      <c r="N157" s="267">
        <v>2571.4299999999998</v>
      </c>
      <c r="O157" s="268">
        <v>45658</v>
      </c>
      <c r="P157" s="262"/>
      <c r="Q157" s="262"/>
    </row>
    <row r="158" spans="1:17" ht="14.1" customHeight="1">
      <c r="A158" s="261" t="s">
        <v>789</v>
      </c>
      <c r="B158" s="262"/>
      <c r="C158" s="263" t="s">
        <v>790</v>
      </c>
      <c r="D158" s="264">
        <v>250000</v>
      </c>
      <c r="E158" s="264">
        <v>0</v>
      </c>
      <c r="F158" s="264">
        <v>7623</v>
      </c>
      <c r="G158" s="261" t="s">
        <v>612</v>
      </c>
      <c r="H158" s="262"/>
      <c r="I158" s="262"/>
      <c r="J158" s="265">
        <v>2382501</v>
      </c>
      <c r="K158" s="262"/>
      <c r="L158" s="266">
        <v>0.7</v>
      </c>
      <c r="M158" s="266">
        <v>2.4E-2</v>
      </c>
      <c r="N158" s="271">
        <v>53.28</v>
      </c>
      <c r="O158" s="268">
        <v>45658</v>
      </c>
      <c r="P158" s="262"/>
      <c r="Q158" s="262"/>
    </row>
    <row r="159" spans="1:17" ht="14.1" customHeight="1">
      <c r="A159" s="261" t="s">
        <v>791</v>
      </c>
      <c r="B159" s="262"/>
      <c r="C159" s="263" t="s">
        <v>790</v>
      </c>
      <c r="D159" s="264">
        <v>250000</v>
      </c>
      <c r="E159" s="264">
        <v>0</v>
      </c>
      <c r="F159" s="264">
        <v>7623</v>
      </c>
      <c r="G159" s="261" t="s">
        <v>612</v>
      </c>
      <c r="H159" s="262"/>
      <c r="I159" s="262"/>
      <c r="J159" s="265">
        <v>2382501</v>
      </c>
      <c r="K159" s="262"/>
      <c r="L159" s="266">
        <v>0.05</v>
      </c>
      <c r="M159" s="266">
        <v>1.2999999999999999E-2</v>
      </c>
      <c r="N159" s="271">
        <v>28.86</v>
      </c>
      <c r="O159" s="268">
        <v>45658</v>
      </c>
      <c r="P159" s="262"/>
      <c r="Q159" s="262"/>
    </row>
    <row r="160" spans="1:17" ht="14.1" customHeight="1">
      <c r="A160" s="261" t="s">
        <v>792</v>
      </c>
      <c r="B160" s="262"/>
      <c r="C160" s="263" t="s">
        <v>793</v>
      </c>
      <c r="D160" s="264">
        <v>250000</v>
      </c>
      <c r="E160" s="264">
        <v>0</v>
      </c>
      <c r="F160" s="264">
        <v>9400</v>
      </c>
      <c r="G160" s="261" t="s">
        <v>617</v>
      </c>
      <c r="H160" s="262"/>
      <c r="I160" s="262"/>
      <c r="J160" s="265">
        <v>218321</v>
      </c>
      <c r="K160" s="272">
        <v>36.021000000000001</v>
      </c>
      <c r="L160" s="266">
        <v>1</v>
      </c>
      <c r="M160" s="266">
        <v>1</v>
      </c>
      <c r="N160" s="271">
        <v>73.84</v>
      </c>
      <c r="O160" s="268">
        <v>45658</v>
      </c>
      <c r="P160" s="262"/>
      <c r="Q160" s="262"/>
    </row>
    <row r="161" spans="1:17" ht="14.1" customHeight="1">
      <c r="A161" s="261" t="s">
        <v>794</v>
      </c>
      <c r="B161" s="262"/>
      <c r="C161" s="263" t="s">
        <v>793</v>
      </c>
      <c r="D161" s="264">
        <v>250000</v>
      </c>
      <c r="E161" s="264">
        <v>0</v>
      </c>
      <c r="F161" s="264">
        <v>9400</v>
      </c>
      <c r="G161" s="261" t="s">
        <v>617</v>
      </c>
      <c r="H161" s="262"/>
      <c r="I161" s="262"/>
      <c r="J161" s="265">
        <v>218321</v>
      </c>
      <c r="K161" s="272">
        <v>36.021000000000001</v>
      </c>
      <c r="L161" s="266">
        <v>1</v>
      </c>
      <c r="M161" s="266">
        <v>1</v>
      </c>
      <c r="N161" s="271">
        <v>476.4</v>
      </c>
      <c r="O161" s="268">
        <v>45658</v>
      </c>
      <c r="P161" s="262"/>
      <c r="Q161" s="262"/>
    </row>
    <row r="162" spans="1:17" ht="14.1" customHeight="1">
      <c r="A162" s="261" t="s">
        <v>795</v>
      </c>
      <c r="B162" s="262"/>
      <c r="C162" s="263" t="s">
        <v>796</v>
      </c>
      <c r="D162" s="263" t="s">
        <v>797</v>
      </c>
      <c r="E162" s="264">
        <v>0</v>
      </c>
      <c r="F162" s="264">
        <v>1903</v>
      </c>
      <c r="G162" s="261" t="s">
        <v>612</v>
      </c>
      <c r="H162" s="262"/>
      <c r="I162" s="262"/>
      <c r="J162" s="265">
        <v>2031</v>
      </c>
      <c r="K162" s="264">
        <v>6703</v>
      </c>
      <c r="L162" s="266">
        <v>1</v>
      </c>
      <c r="M162" s="266">
        <v>1</v>
      </c>
      <c r="N162" s="267">
        <v>4973.76</v>
      </c>
      <c r="O162" s="268">
        <v>45658</v>
      </c>
      <c r="P162" s="262"/>
      <c r="Q162" s="262"/>
    </row>
    <row r="163" spans="1:17" ht="14.1" customHeight="1">
      <c r="A163" s="261" t="s">
        <v>798</v>
      </c>
      <c r="B163" s="262"/>
      <c r="C163" s="263" t="s">
        <v>796</v>
      </c>
      <c r="D163" s="263" t="s">
        <v>797</v>
      </c>
      <c r="E163" s="264">
        <v>0</v>
      </c>
      <c r="F163" s="264">
        <v>1903</v>
      </c>
      <c r="G163" s="261" t="s">
        <v>612</v>
      </c>
      <c r="H163" s="262"/>
      <c r="I163" s="262"/>
      <c r="J163" s="265">
        <v>2031</v>
      </c>
      <c r="K163" s="264">
        <v>6703</v>
      </c>
      <c r="L163" s="266">
        <v>1</v>
      </c>
      <c r="M163" s="266">
        <v>1</v>
      </c>
      <c r="N163" s="267">
        <v>2486.88</v>
      </c>
      <c r="O163" s="268">
        <v>45658</v>
      </c>
      <c r="P163" s="262"/>
      <c r="Q163" s="262"/>
    </row>
    <row r="164" spans="1:17" ht="14.1" customHeight="1">
      <c r="A164" s="261" t="s">
        <v>799</v>
      </c>
      <c r="B164" s="262"/>
      <c r="C164" s="263" t="s">
        <v>796</v>
      </c>
      <c r="D164" s="263" t="s">
        <v>797</v>
      </c>
      <c r="E164" s="264">
        <v>0</v>
      </c>
      <c r="F164" s="264">
        <v>1903</v>
      </c>
      <c r="G164" s="261" t="s">
        <v>612</v>
      </c>
      <c r="H164" s="262"/>
      <c r="I164" s="262"/>
      <c r="J164" s="265">
        <v>2031</v>
      </c>
      <c r="K164" s="264">
        <v>6703</v>
      </c>
      <c r="L164" s="266">
        <v>1</v>
      </c>
      <c r="M164" s="266">
        <v>1</v>
      </c>
      <c r="N164" s="267">
        <v>3108.6</v>
      </c>
      <c r="O164" s="268">
        <v>45658</v>
      </c>
      <c r="P164" s="262"/>
      <c r="Q164" s="262"/>
    </row>
    <row r="165" spans="1:17" ht="14.1" customHeight="1">
      <c r="A165" s="261" t="s">
        <v>800</v>
      </c>
      <c r="B165" s="262"/>
      <c r="C165" s="263" t="s">
        <v>796</v>
      </c>
      <c r="D165" s="263" t="s">
        <v>797</v>
      </c>
      <c r="E165" s="264">
        <v>0</v>
      </c>
      <c r="F165" s="264">
        <v>1903</v>
      </c>
      <c r="G165" s="261" t="s">
        <v>612</v>
      </c>
      <c r="H165" s="262"/>
      <c r="I165" s="262"/>
      <c r="J165" s="265">
        <v>2031</v>
      </c>
      <c r="K165" s="264">
        <v>6703</v>
      </c>
      <c r="L165" s="266">
        <v>1</v>
      </c>
      <c r="M165" s="266">
        <v>1</v>
      </c>
      <c r="N165" s="267">
        <v>9947.52</v>
      </c>
      <c r="O165" s="268">
        <v>45658</v>
      </c>
      <c r="P165" s="262"/>
      <c r="Q165" s="262"/>
    </row>
    <row r="166" spans="1:17" ht="14.1" customHeight="1">
      <c r="A166" s="261" t="s">
        <v>801</v>
      </c>
      <c r="B166" s="262"/>
      <c r="C166" s="263" t="s">
        <v>796</v>
      </c>
      <c r="D166" s="263" t="s">
        <v>797</v>
      </c>
      <c r="E166" s="264">
        <v>0</v>
      </c>
      <c r="F166" s="264">
        <v>1903</v>
      </c>
      <c r="G166" s="261" t="s">
        <v>612</v>
      </c>
      <c r="H166" s="262"/>
      <c r="I166" s="262"/>
      <c r="J166" s="265">
        <v>2031</v>
      </c>
      <c r="K166" s="264">
        <v>6703</v>
      </c>
      <c r="L166" s="266">
        <v>1</v>
      </c>
      <c r="M166" s="266">
        <v>1</v>
      </c>
      <c r="N166" s="267">
        <v>2486.88</v>
      </c>
      <c r="O166" s="268">
        <v>45658</v>
      </c>
      <c r="P166" s="262"/>
      <c r="Q166" s="262"/>
    </row>
    <row r="167" spans="1:17" ht="14.1" customHeight="1">
      <c r="A167" s="261" t="s">
        <v>802</v>
      </c>
      <c r="B167" s="262"/>
      <c r="C167" s="263" t="s">
        <v>796</v>
      </c>
      <c r="D167" s="263" t="s">
        <v>797</v>
      </c>
      <c r="E167" s="264">
        <v>0</v>
      </c>
      <c r="F167" s="264">
        <v>1903</v>
      </c>
      <c r="G167" s="261" t="s">
        <v>612</v>
      </c>
      <c r="H167" s="262"/>
      <c r="I167" s="262"/>
      <c r="J167" s="265">
        <v>2031</v>
      </c>
      <c r="K167" s="264">
        <v>6703</v>
      </c>
      <c r="L167" s="266">
        <v>1</v>
      </c>
      <c r="M167" s="266">
        <v>1</v>
      </c>
      <c r="N167" s="267">
        <v>1740</v>
      </c>
      <c r="O167" s="268">
        <v>45658</v>
      </c>
      <c r="P167" s="262"/>
      <c r="Q167" s="262"/>
    </row>
    <row r="168" spans="1:17" ht="14.1" customHeight="1">
      <c r="A168" s="261" t="s">
        <v>803</v>
      </c>
      <c r="B168" s="262"/>
      <c r="C168" s="263" t="s">
        <v>796</v>
      </c>
      <c r="D168" s="263" t="s">
        <v>797</v>
      </c>
      <c r="E168" s="264">
        <v>0</v>
      </c>
      <c r="F168" s="264">
        <v>1903</v>
      </c>
      <c r="G168" s="261" t="s">
        <v>612</v>
      </c>
      <c r="H168" s="262"/>
      <c r="I168" s="262"/>
      <c r="J168" s="265">
        <v>2031</v>
      </c>
      <c r="K168" s="264">
        <v>6703</v>
      </c>
      <c r="L168" s="266">
        <v>1</v>
      </c>
      <c r="M168" s="266">
        <v>1</v>
      </c>
      <c r="N168" s="267">
        <v>7080</v>
      </c>
      <c r="O168" s="268">
        <v>45658</v>
      </c>
      <c r="P168" s="262"/>
      <c r="Q168" s="262"/>
    </row>
    <row r="169" spans="1:17" ht="14.1" customHeight="1">
      <c r="A169" s="261" t="s">
        <v>804</v>
      </c>
      <c r="B169" s="262"/>
      <c r="C169" s="263" t="s">
        <v>805</v>
      </c>
      <c r="D169" s="264">
        <v>250000</v>
      </c>
      <c r="E169" s="264">
        <v>0</v>
      </c>
      <c r="F169" s="264">
        <v>2151</v>
      </c>
      <c r="G169" s="261" t="s">
        <v>612</v>
      </c>
      <c r="H169" s="262"/>
      <c r="I169" s="262"/>
      <c r="J169" s="265">
        <v>2051</v>
      </c>
      <c r="K169" s="264">
        <v>36087</v>
      </c>
      <c r="L169" s="266">
        <v>1</v>
      </c>
      <c r="M169" s="266">
        <v>1</v>
      </c>
      <c r="N169" s="267">
        <v>1200</v>
      </c>
      <c r="O169" s="268">
        <v>45658</v>
      </c>
      <c r="P169" s="262"/>
      <c r="Q169" s="262"/>
    </row>
    <row r="170" spans="1:17" ht="14.1" customHeight="1">
      <c r="A170" s="261" t="s">
        <v>806</v>
      </c>
      <c r="B170" s="262"/>
      <c r="C170" s="263" t="s">
        <v>807</v>
      </c>
      <c r="D170" s="264">
        <v>250000</v>
      </c>
      <c r="E170" s="264">
        <v>0</v>
      </c>
      <c r="F170" s="269">
        <v>201</v>
      </c>
      <c r="G170" s="261" t="s">
        <v>612</v>
      </c>
      <c r="H170" s="262"/>
      <c r="I170" s="262"/>
      <c r="J170" s="265">
        <v>218321</v>
      </c>
      <c r="K170" s="264">
        <v>36061</v>
      </c>
      <c r="L170" s="266">
        <v>1</v>
      </c>
      <c r="M170" s="266">
        <v>1</v>
      </c>
      <c r="N170" s="267">
        <v>6658.55</v>
      </c>
      <c r="O170" s="268">
        <v>45658</v>
      </c>
      <c r="P170" s="262"/>
      <c r="Q170" s="262"/>
    </row>
    <row r="171" spans="1:17" ht="14.1" customHeight="1">
      <c r="A171" s="261" t="s">
        <v>808</v>
      </c>
      <c r="B171" s="262"/>
      <c r="C171" s="263" t="s">
        <v>807</v>
      </c>
      <c r="D171" s="264">
        <v>250000</v>
      </c>
      <c r="E171" s="264">
        <v>0</v>
      </c>
      <c r="F171" s="269">
        <v>201</v>
      </c>
      <c r="G171" s="261" t="s">
        <v>612</v>
      </c>
      <c r="H171" s="262"/>
      <c r="I171" s="262"/>
      <c r="J171" s="265">
        <v>218321</v>
      </c>
      <c r="K171" s="264">
        <v>36061</v>
      </c>
      <c r="L171" s="266">
        <v>1</v>
      </c>
      <c r="M171" s="266">
        <v>1</v>
      </c>
      <c r="N171" s="271">
        <v>45.73</v>
      </c>
      <c r="O171" s="268">
        <v>45658</v>
      </c>
      <c r="P171" s="262"/>
      <c r="Q171" s="262"/>
    </row>
    <row r="172" spans="1:17" ht="14.1" customHeight="1">
      <c r="A172" s="261" t="s">
        <v>809</v>
      </c>
      <c r="B172" s="262"/>
      <c r="C172" s="263" t="s">
        <v>807</v>
      </c>
      <c r="D172" s="264">
        <v>250000</v>
      </c>
      <c r="E172" s="264">
        <v>0</v>
      </c>
      <c r="F172" s="269">
        <v>201</v>
      </c>
      <c r="G172" s="261" t="s">
        <v>612</v>
      </c>
      <c r="H172" s="262"/>
      <c r="I172" s="262"/>
      <c r="J172" s="265">
        <v>218321</v>
      </c>
      <c r="K172" s="264">
        <v>36061</v>
      </c>
      <c r="L172" s="266">
        <v>1</v>
      </c>
      <c r="M172" s="266">
        <v>1</v>
      </c>
      <c r="N172" s="271">
        <v>391.39</v>
      </c>
      <c r="O172" s="268">
        <v>45658</v>
      </c>
      <c r="P172" s="262"/>
      <c r="Q172" s="262"/>
    </row>
    <row r="173" spans="1:17" ht="14.1" customHeight="1">
      <c r="A173" s="261" t="s">
        <v>810</v>
      </c>
      <c r="B173" s="262"/>
      <c r="C173" s="263" t="s">
        <v>807</v>
      </c>
      <c r="D173" s="264">
        <v>250000</v>
      </c>
      <c r="E173" s="264">
        <v>0</v>
      </c>
      <c r="F173" s="269">
        <v>201</v>
      </c>
      <c r="G173" s="261" t="s">
        <v>612</v>
      </c>
      <c r="H173" s="262"/>
      <c r="I173" s="262"/>
      <c r="J173" s="265">
        <v>218321</v>
      </c>
      <c r="K173" s="264">
        <v>36061</v>
      </c>
      <c r="L173" s="266">
        <v>2</v>
      </c>
      <c r="M173" s="266">
        <v>2</v>
      </c>
      <c r="N173" s="267">
        <v>2594.52</v>
      </c>
      <c r="O173" s="268">
        <v>45658</v>
      </c>
      <c r="P173" s="262"/>
      <c r="Q173" s="262"/>
    </row>
    <row r="174" spans="1:17" ht="14.1" customHeight="1">
      <c r="A174" s="261" t="s">
        <v>811</v>
      </c>
      <c r="B174" s="262"/>
      <c r="C174" s="263" t="s">
        <v>807</v>
      </c>
      <c r="D174" s="264">
        <v>250000</v>
      </c>
      <c r="E174" s="264">
        <v>0</v>
      </c>
      <c r="F174" s="269">
        <v>201</v>
      </c>
      <c r="G174" s="261" t="s">
        <v>612</v>
      </c>
      <c r="H174" s="262"/>
      <c r="I174" s="262"/>
      <c r="J174" s="265">
        <v>218321</v>
      </c>
      <c r="K174" s="264">
        <v>36061</v>
      </c>
      <c r="L174" s="266">
        <v>2</v>
      </c>
      <c r="M174" s="266">
        <v>2</v>
      </c>
      <c r="N174" s="271">
        <v>597.30999999999995</v>
      </c>
      <c r="O174" s="268">
        <v>45658</v>
      </c>
      <c r="P174" s="262"/>
      <c r="Q174" s="262"/>
    </row>
    <row r="175" spans="1:17" ht="14.1" customHeight="1">
      <c r="A175" s="261" t="s">
        <v>812</v>
      </c>
      <c r="B175" s="262"/>
      <c r="C175" s="263" t="s">
        <v>807</v>
      </c>
      <c r="D175" s="264">
        <v>250000</v>
      </c>
      <c r="E175" s="264">
        <v>0</v>
      </c>
      <c r="F175" s="269">
        <v>201</v>
      </c>
      <c r="G175" s="261" t="s">
        <v>612</v>
      </c>
      <c r="H175" s="262"/>
      <c r="I175" s="262"/>
      <c r="J175" s="265">
        <v>218321</v>
      </c>
      <c r="K175" s="264">
        <v>36061</v>
      </c>
      <c r="L175" s="266">
        <v>2</v>
      </c>
      <c r="M175" s="266">
        <v>2</v>
      </c>
      <c r="N175" s="271">
        <v>164.58</v>
      </c>
      <c r="O175" s="268">
        <v>45658</v>
      </c>
      <c r="P175" s="262"/>
      <c r="Q175" s="262"/>
    </row>
    <row r="176" spans="1:17" ht="14.1" customHeight="1">
      <c r="A176" s="261" t="s">
        <v>813</v>
      </c>
      <c r="B176" s="262"/>
      <c r="C176" s="263" t="s">
        <v>807</v>
      </c>
      <c r="D176" s="263" t="s">
        <v>814</v>
      </c>
      <c r="E176" s="264">
        <v>0</v>
      </c>
      <c r="F176" s="264">
        <v>2311</v>
      </c>
      <c r="G176" s="261" t="s">
        <v>612</v>
      </c>
      <c r="H176" s="262"/>
      <c r="I176" s="262"/>
      <c r="J176" s="265">
        <v>2154112</v>
      </c>
      <c r="K176" s="264">
        <v>18411</v>
      </c>
      <c r="L176" s="266">
        <v>1</v>
      </c>
      <c r="M176" s="266">
        <v>0.32</v>
      </c>
      <c r="N176" s="271">
        <v>809.41</v>
      </c>
      <c r="O176" s="268">
        <v>45658</v>
      </c>
      <c r="P176" s="262"/>
      <c r="Q176" s="262"/>
    </row>
    <row r="177" spans="1:17" ht="14.1" customHeight="1">
      <c r="A177" s="261" t="s">
        <v>815</v>
      </c>
      <c r="B177" s="262"/>
      <c r="C177" s="263" t="s">
        <v>816</v>
      </c>
      <c r="D177" s="263" t="s">
        <v>740</v>
      </c>
      <c r="E177" s="264">
        <v>0</v>
      </c>
      <c r="F177" s="264">
        <v>1031</v>
      </c>
      <c r="G177" s="261" t="s">
        <v>612</v>
      </c>
      <c r="H177" s="262"/>
      <c r="I177" s="262"/>
      <c r="J177" s="265">
        <v>2382328</v>
      </c>
      <c r="K177" s="264">
        <v>6702</v>
      </c>
      <c r="L177" s="266">
        <v>1</v>
      </c>
      <c r="M177" s="266">
        <v>1</v>
      </c>
      <c r="N177" s="267">
        <v>28320</v>
      </c>
      <c r="O177" s="268">
        <v>45658</v>
      </c>
      <c r="P177" s="262"/>
      <c r="Q177" s="262"/>
    </row>
    <row r="178" spans="1:17" ht="14.1" customHeight="1">
      <c r="A178" s="261" t="s">
        <v>817</v>
      </c>
      <c r="B178" s="262"/>
      <c r="C178" s="263" t="s">
        <v>816</v>
      </c>
      <c r="D178" s="263" t="s">
        <v>740</v>
      </c>
      <c r="E178" s="264">
        <v>0</v>
      </c>
      <c r="F178" s="264">
        <v>1031</v>
      </c>
      <c r="G178" s="261" t="s">
        <v>612</v>
      </c>
      <c r="H178" s="262"/>
      <c r="I178" s="262"/>
      <c r="J178" s="265">
        <v>2382328</v>
      </c>
      <c r="K178" s="264">
        <v>6702</v>
      </c>
      <c r="L178" s="266">
        <v>1</v>
      </c>
      <c r="M178" s="266">
        <v>0.5</v>
      </c>
      <c r="N178" s="267">
        <v>4860</v>
      </c>
      <c r="O178" s="268">
        <v>45658</v>
      </c>
      <c r="P178" s="262"/>
      <c r="Q178" s="262"/>
    </row>
    <row r="179" spans="1:17" ht="14.1" customHeight="1">
      <c r="A179" s="261" t="s">
        <v>818</v>
      </c>
      <c r="B179" s="262"/>
      <c r="C179" s="263" t="s">
        <v>816</v>
      </c>
      <c r="D179" s="263" t="s">
        <v>740</v>
      </c>
      <c r="E179" s="264">
        <v>0</v>
      </c>
      <c r="F179" s="264">
        <v>1031</v>
      </c>
      <c r="G179" s="261" t="s">
        <v>612</v>
      </c>
      <c r="H179" s="262"/>
      <c r="I179" s="262"/>
      <c r="J179" s="265">
        <v>2382328</v>
      </c>
      <c r="K179" s="264">
        <v>6702</v>
      </c>
      <c r="L179" s="266">
        <v>1</v>
      </c>
      <c r="M179" s="266">
        <v>1</v>
      </c>
      <c r="N179" s="267">
        <v>8760</v>
      </c>
      <c r="O179" s="268">
        <v>45658</v>
      </c>
      <c r="P179" s="262"/>
      <c r="Q179" s="262"/>
    </row>
    <row r="180" spans="1:17" ht="14.1" customHeight="1">
      <c r="A180" s="261" t="s">
        <v>819</v>
      </c>
      <c r="B180" s="262"/>
      <c r="C180" s="263" t="s">
        <v>816</v>
      </c>
      <c r="D180" s="263" t="s">
        <v>740</v>
      </c>
      <c r="E180" s="264">
        <v>0</v>
      </c>
      <c r="F180" s="264">
        <v>1031</v>
      </c>
      <c r="G180" s="261" t="s">
        <v>612</v>
      </c>
      <c r="H180" s="262"/>
      <c r="I180" s="262"/>
      <c r="J180" s="265">
        <v>2382328</v>
      </c>
      <c r="K180" s="264">
        <v>6702</v>
      </c>
      <c r="L180" s="266">
        <v>1</v>
      </c>
      <c r="M180" s="266">
        <v>1</v>
      </c>
      <c r="N180" s="267">
        <v>8760</v>
      </c>
      <c r="O180" s="268">
        <v>45658</v>
      </c>
      <c r="P180" s="262"/>
      <c r="Q180" s="262"/>
    </row>
    <row r="181" spans="1:17" ht="14.1" customHeight="1">
      <c r="A181" s="261" t="s">
        <v>820</v>
      </c>
      <c r="B181" s="262"/>
      <c r="C181" s="263" t="s">
        <v>816</v>
      </c>
      <c r="D181" s="263" t="s">
        <v>740</v>
      </c>
      <c r="E181" s="264">
        <v>0</v>
      </c>
      <c r="F181" s="264">
        <v>1031</v>
      </c>
      <c r="G181" s="261" t="s">
        <v>612</v>
      </c>
      <c r="H181" s="262"/>
      <c r="I181" s="262"/>
      <c r="J181" s="265">
        <v>2382328</v>
      </c>
      <c r="K181" s="264">
        <v>6702</v>
      </c>
      <c r="L181" s="266">
        <v>1</v>
      </c>
      <c r="M181" s="266">
        <v>1</v>
      </c>
      <c r="N181" s="267">
        <v>11400</v>
      </c>
      <c r="O181" s="268">
        <v>45658</v>
      </c>
      <c r="P181" s="262"/>
      <c r="Q181" s="262"/>
    </row>
    <row r="182" spans="1:17" ht="14.1" customHeight="1">
      <c r="A182" s="261" t="s">
        <v>821</v>
      </c>
      <c r="B182" s="262"/>
      <c r="C182" s="263" t="s">
        <v>822</v>
      </c>
      <c r="D182" s="264">
        <v>250000</v>
      </c>
      <c r="E182" s="264">
        <v>0</v>
      </c>
      <c r="F182" s="264">
        <v>1903</v>
      </c>
      <c r="G182" s="261" t="s">
        <v>612</v>
      </c>
      <c r="H182" s="262"/>
      <c r="I182" s="262"/>
      <c r="J182" s="265">
        <v>238256</v>
      </c>
      <c r="K182" s="262"/>
      <c r="L182" s="266">
        <v>1</v>
      </c>
      <c r="M182" s="266">
        <v>1</v>
      </c>
      <c r="N182" s="271">
        <v>684</v>
      </c>
      <c r="O182" s="268">
        <v>45658</v>
      </c>
      <c r="P182" s="262"/>
      <c r="Q182" s="262"/>
    </row>
    <row r="183" spans="1:17" ht="14.1" customHeight="1">
      <c r="A183" s="261" t="s">
        <v>823</v>
      </c>
      <c r="B183" s="262"/>
      <c r="C183" s="263" t="s">
        <v>822</v>
      </c>
      <c r="D183" s="264">
        <v>250000</v>
      </c>
      <c r="E183" s="264">
        <v>0</v>
      </c>
      <c r="F183" s="264">
        <v>1903</v>
      </c>
      <c r="G183" s="261" t="s">
        <v>612</v>
      </c>
      <c r="H183" s="262"/>
      <c r="I183" s="262"/>
      <c r="J183" s="265">
        <v>238256</v>
      </c>
      <c r="K183" s="262"/>
      <c r="L183" s="266">
        <v>1</v>
      </c>
      <c r="M183" s="266">
        <v>1</v>
      </c>
      <c r="N183" s="267">
        <v>1368</v>
      </c>
      <c r="O183" s="268">
        <v>45658</v>
      </c>
      <c r="P183" s="262"/>
      <c r="Q183" s="262"/>
    </row>
    <row r="184" spans="1:17" ht="14.1" customHeight="1">
      <c r="A184" s="261" t="s">
        <v>824</v>
      </c>
      <c r="B184" s="262"/>
      <c r="C184" s="263" t="s">
        <v>822</v>
      </c>
      <c r="D184" s="264">
        <v>250000</v>
      </c>
      <c r="E184" s="264">
        <v>0</v>
      </c>
      <c r="F184" s="264">
        <v>1903</v>
      </c>
      <c r="G184" s="261" t="s">
        <v>612</v>
      </c>
      <c r="H184" s="262"/>
      <c r="I184" s="262"/>
      <c r="J184" s="265">
        <v>238256</v>
      </c>
      <c r="K184" s="262"/>
      <c r="L184" s="266">
        <v>1</v>
      </c>
      <c r="M184" s="266">
        <v>1</v>
      </c>
      <c r="N184" s="271">
        <v>912</v>
      </c>
      <c r="O184" s="268">
        <v>45658</v>
      </c>
      <c r="P184" s="262"/>
      <c r="Q184" s="262"/>
    </row>
    <row r="185" spans="1:17" ht="14.1" customHeight="1">
      <c r="A185" s="261" t="s">
        <v>825</v>
      </c>
      <c r="B185" s="262"/>
      <c r="C185" s="263" t="s">
        <v>807</v>
      </c>
      <c r="D185" s="263" t="s">
        <v>826</v>
      </c>
      <c r="E185" s="264">
        <v>0</v>
      </c>
      <c r="F185" s="269">
        <v>900</v>
      </c>
      <c r="G185" s="261" t="s">
        <v>612</v>
      </c>
      <c r="H185" s="262"/>
      <c r="I185" s="262"/>
      <c r="J185" s="265">
        <v>21845</v>
      </c>
      <c r="K185" s="264">
        <v>2505</v>
      </c>
      <c r="L185" s="266">
        <v>1</v>
      </c>
      <c r="M185" s="266">
        <v>1</v>
      </c>
      <c r="N185" s="267">
        <v>4658.6899999999996</v>
      </c>
      <c r="O185" s="268">
        <v>45658</v>
      </c>
      <c r="P185" s="262"/>
      <c r="Q185" s="262"/>
    </row>
    <row r="186" spans="1:17" ht="14.1" customHeight="1">
      <c r="A186" s="261" t="s">
        <v>827</v>
      </c>
      <c r="B186" s="262"/>
      <c r="C186" s="263" t="s">
        <v>781</v>
      </c>
      <c r="D186" s="263" t="s">
        <v>828</v>
      </c>
      <c r="E186" s="264">
        <v>0</v>
      </c>
      <c r="F186" s="269">
        <v>201</v>
      </c>
      <c r="G186" s="261" t="s">
        <v>612</v>
      </c>
      <c r="H186" s="262"/>
      <c r="I186" s="262"/>
      <c r="J186" s="265">
        <v>2051</v>
      </c>
      <c r="K186" s="272">
        <v>36.082000000000001</v>
      </c>
      <c r="L186" s="274">
        <v>1500</v>
      </c>
      <c r="M186" s="266">
        <v>0</v>
      </c>
      <c r="N186" s="271">
        <v>0</v>
      </c>
      <c r="O186" s="268">
        <v>45658</v>
      </c>
      <c r="P186" s="262"/>
      <c r="Q186" s="262"/>
    </row>
    <row r="187" spans="1:17" ht="14.1" customHeight="1">
      <c r="A187" s="261" t="s">
        <v>829</v>
      </c>
      <c r="B187" s="262"/>
      <c r="C187" s="263" t="s">
        <v>781</v>
      </c>
      <c r="D187" s="263" t="s">
        <v>828</v>
      </c>
      <c r="E187" s="264">
        <v>0</v>
      </c>
      <c r="F187" s="269">
        <v>201</v>
      </c>
      <c r="G187" s="261" t="s">
        <v>612</v>
      </c>
      <c r="H187" s="262"/>
      <c r="I187" s="262"/>
      <c r="J187" s="265">
        <v>2051</v>
      </c>
      <c r="K187" s="272">
        <v>36.082000000000001</v>
      </c>
      <c r="L187" s="266">
        <v>15</v>
      </c>
      <c r="M187" s="266">
        <v>0</v>
      </c>
      <c r="N187" s="271">
        <v>0</v>
      </c>
      <c r="O187" s="268">
        <v>45658</v>
      </c>
      <c r="P187" s="262"/>
      <c r="Q187" s="262"/>
    </row>
    <row r="188" spans="1:17" ht="14.1" customHeight="1">
      <c r="A188" s="261" t="s">
        <v>830</v>
      </c>
      <c r="B188" s="262"/>
      <c r="C188" s="263" t="s">
        <v>781</v>
      </c>
      <c r="D188" s="263" t="s">
        <v>828</v>
      </c>
      <c r="E188" s="264">
        <v>0</v>
      </c>
      <c r="F188" s="269">
        <v>201</v>
      </c>
      <c r="G188" s="261" t="s">
        <v>612</v>
      </c>
      <c r="H188" s="262"/>
      <c r="I188" s="262"/>
      <c r="J188" s="265">
        <v>2051</v>
      </c>
      <c r="K188" s="272">
        <v>36.082000000000001</v>
      </c>
      <c r="L188" s="266">
        <v>2</v>
      </c>
      <c r="M188" s="266">
        <v>0</v>
      </c>
      <c r="N188" s="271">
        <v>0</v>
      </c>
      <c r="O188" s="268">
        <v>45658</v>
      </c>
      <c r="P188" s="262"/>
      <c r="Q188" s="262"/>
    </row>
    <row r="189" spans="1:17" ht="14.1" customHeight="1">
      <c r="A189" s="261" t="s">
        <v>831</v>
      </c>
      <c r="B189" s="262"/>
      <c r="C189" s="263" t="s">
        <v>832</v>
      </c>
      <c r="D189" s="264">
        <v>250000</v>
      </c>
      <c r="E189" s="264">
        <v>0</v>
      </c>
      <c r="F189" s="269">
        <v>201</v>
      </c>
      <c r="G189" s="261" t="s">
        <v>612</v>
      </c>
      <c r="H189" s="262"/>
      <c r="I189" s="262"/>
      <c r="J189" s="265">
        <v>2051</v>
      </c>
      <c r="K189" s="264">
        <v>36087</v>
      </c>
      <c r="L189" s="266">
        <v>1</v>
      </c>
      <c r="M189" s="266">
        <v>1</v>
      </c>
      <c r="N189" s="267">
        <v>1080</v>
      </c>
      <c r="O189" s="268">
        <v>45658</v>
      </c>
      <c r="P189" s="262"/>
      <c r="Q189" s="262"/>
    </row>
    <row r="190" spans="1:17" ht="14.1" customHeight="1">
      <c r="A190" s="261" t="s">
        <v>833</v>
      </c>
      <c r="B190" s="262"/>
      <c r="C190" s="263" t="s">
        <v>832</v>
      </c>
      <c r="D190" s="264">
        <v>250000</v>
      </c>
      <c r="E190" s="264">
        <v>0</v>
      </c>
      <c r="F190" s="269">
        <v>201</v>
      </c>
      <c r="G190" s="261" t="s">
        <v>612</v>
      </c>
      <c r="H190" s="262"/>
      <c r="I190" s="262"/>
      <c r="J190" s="265">
        <v>2051</v>
      </c>
      <c r="K190" s="264">
        <v>36087</v>
      </c>
      <c r="L190" s="266">
        <v>1</v>
      </c>
      <c r="M190" s="266">
        <v>1</v>
      </c>
      <c r="N190" s="267">
        <v>1080</v>
      </c>
      <c r="O190" s="268">
        <v>45658</v>
      </c>
      <c r="P190" s="262"/>
      <c r="Q190" s="262"/>
    </row>
    <row r="191" spans="1:17" ht="14.1" customHeight="1">
      <c r="A191" s="261" t="s">
        <v>834</v>
      </c>
      <c r="B191" s="262"/>
      <c r="C191" s="263" t="s">
        <v>686</v>
      </c>
      <c r="D191" s="263" t="s">
        <v>835</v>
      </c>
      <c r="E191" s="264">
        <v>2</v>
      </c>
      <c r="F191" s="264">
        <v>2201</v>
      </c>
      <c r="G191" s="261" t="s">
        <v>612</v>
      </c>
      <c r="H191" s="262"/>
      <c r="I191" s="262"/>
      <c r="J191" s="265">
        <v>2031</v>
      </c>
      <c r="K191" s="272">
        <v>71.010999999999996</v>
      </c>
      <c r="L191" s="266">
        <v>1</v>
      </c>
      <c r="M191" s="266">
        <v>1</v>
      </c>
      <c r="N191" s="271">
        <v>364.8</v>
      </c>
      <c r="O191" s="268">
        <v>45658</v>
      </c>
      <c r="P191" s="262"/>
      <c r="Q191" s="262"/>
    </row>
    <row r="192" spans="1:17" ht="14.1" customHeight="1">
      <c r="A192" s="261" t="s">
        <v>836</v>
      </c>
      <c r="B192" s="262"/>
      <c r="C192" s="263" t="s">
        <v>686</v>
      </c>
      <c r="D192" s="263" t="s">
        <v>835</v>
      </c>
      <c r="E192" s="264">
        <v>2</v>
      </c>
      <c r="F192" s="264">
        <v>2201</v>
      </c>
      <c r="G192" s="261" t="s">
        <v>612</v>
      </c>
      <c r="H192" s="262"/>
      <c r="I192" s="262"/>
      <c r="J192" s="265">
        <v>2031</v>
      </c>
      <c r="K192" s="272">
        <v>71.010999999999996</v>
      </c>
      <c r="L192" s="266">
        <v>1</v>
      </c>
      <c r="M192" s="266">
        <v>1</v>
      </c>
      <c r="N192" s="271">
        <v>729.6</v>
      </c>
      <c r="O192" s="268">
        <v>45658</v>
      </c>
      <c r="P192" s="262"/>
      <c r="Q192" s="262"/>
    </row>
    <row r="193" spans="1:17" ht="14.1" customHeight="1">
      <c r="A193" s="261" t="s">
        <v>837</v>
      </c>
      <c r="B193" s="262"/>
      <c r="C193" s="263" t="s">
        <v>686</v>
      </c>
      <c r="D193" s="263" t="s">
        <v>835</v>
      </c>
      <c r="E193" s="264">
        <v>1</v>
      </c>
      <c r="F193" s="264">
        <v>2201</v>
      </c>
      <c r="G193" s="261" t="s">
        <v>612</v>
      </c>
      <c r="H193" s="262"/>
      <c r="I193" s="262"/>
      <c r="J193" s="265">
        <v>2031</v>
      </c>
      <c r="K193" s="272">
        <v>71.010999999999996</v>
      </c>
      <c r="L193" s="266">
        <v>1</v>
      </c>
      <c r="M193" s="266">
        <v>1</v>
      </c>
      <c r="N193" s="267">
        <v>2016</v>
      </c>
      <c r="O193" s="268">
        <v>45658</v>
      </c>
      <c r="P193" s="262"/>
      <c r="Q193" s="262"/>
    </row>
    <row r="194" spans="1:17" ht="14.1" customHeight="1">
      <c r="A194" s="261" t="s">
        <v>838</v>
      </c>
      <c r="B194" s="262"/>
      <c r="C194" s="263" t="s">
        <v>686</v>
      </c>
      <c r="D194" s="263" t="s">
        <v>835</v>
      </c>
      <c r="E194" s="264">
        <v>1</v>
      </c>
      <c r="F194" s="264">
        <v>2201</v>
      </c>
      <c r="G194" s="261" t="s">
        <v>612</v>
      </c>
      <c r="H194" s="262"/>
      <c r="I194" s="262"/>
      <c r="J194" s="265">
        <v>2031</v>
      </c>
      <c r="K194" s="272">
        <v>71.010999999999996</v>
      </c>
      <c r="L194" s="266">
        <v>1</v>
      </c>
      <c r="M194" s="266">
        <v>1</v>
      </c>
      <c r="N194" s="267">
        <v>2304</v>
      </c>
      <c r="O194" s="268">
        <v>45658</v>
      </c>
      <c r="P194" s="262"/>
      <c r="Q194" s="262"/>
    </row>
    <row r="195" spans="1:17" ht="14.1" customHeight="1">
      <c r="A195" s="261" t="s">
        <v>839</v>
      </c>
      <c r="B195" s="262"/>
      <c r="C195" s="263" t="s">
        <v>686</v>
      </c>
      <c r="D195" s="263" t="s">
        <v>835</v>
      </c>
      <c r="E195" s="264">
        <v>1</v>
      </c>
      <c r="F195" s="264">
        <v>2201</v>
      </c>
      <c r="G195" s="261" t="s">
        <v>612</v>
      </c>
      <c r="H195" s="262"/>
      <c r="I195" s="262"/>
      <c r="J195" s="265">
        <v>2031</v>
      </c>
      <c r="K195" s="272">
        <v>71.010999999999996</v>
      </c>
      <c r="L195" s="266">
        <v>1</v>
      </c>
      <c r="M195" s="266">
        <v>1</v>
      </c>
      <c r="N195" s="271">
        <v>456</v>
      </c>
      <c r="O195" s="268">
        <v>45658</v>
      </c>
      <c r="P195" s="262"/>
      <c r="Q195" s="262"/>
    </row>
    <row r="196" spans="1:17" ht="14.1" customHeight="1">
      <c r="A196" s="261" t="s">
        <v>840</v>
      </c>
      <c r="B196" s="262"/>
      <c r="C196" s="263" t="s">
        <v>686</v>
      </c>
      <c r="D196" s="263" t="s">
        <v>835</v>
      </c>
      <c r="E196" s="264">
        <v>1</v>
      </c>
      <c r="F196" s="264">
        <v>2201</v>
      </c>
      <c r="G196" s="261" t="s">
        <v>612</v>
      </c>
      <c r="H196" s="262"/>
      <c r="I196" s="262"/>
      <c r="J196" s="265">
        <v>2031</v>
      </c>
      <c r="K196" s="272">
        <v>71.010999999999996</v>
      </c>
      <c r="L196" s="266">
        <v>1</v>
      </c>
      <c r="M196" s="266">
        <v>1</v>
      </c>
      <c r="N196" s="271">
        <v>360</v>
      </c>
      <c r="O196" s="268">
        <v>45658</v>
      </c>
      <c r="P196" s="262"/>
      <c r="Q196" s="262"/>
    </row>
    <row r="197" spans="1:17" ht="14.1" customHeight="1">
      <c r="A197" s="261" t="s">
        <v>841</v>
      </c>
      <c r="B197" s="262"/>
      <c r="C197" s="263" t="s">
        <v>715</v>
      </c>
      <c r="D197" s="264">
        <v>250000</v>
      </c>
      <c r="E197" s="264">
        <v>0</v>
      </c>
      <c r="F197" s="269">
        <v>201</v>
      </c>
      <c r="G197" s="261" t="s">
        <v>612</v>
      </c>
      <c r="H197" s="262"/>
      <c r="I197" s="262"/>
      <c r="J197" s="265">
        <v>2051</v>
      </c>
      <c r="K197" s="272">
        <v>63.030999999999999</v>
      </c>
      <c r="L197" s="266">
        <v>1</v>
      </c>
      <c r="M197" s="266">
        <v>1</v>
      </c>
      <c r="N197" s="267">
        <v>5652.94</v>
      </c>
      <c r="O197" s="268">
        <v>45658</v>
      </c>
      <c r="P197" s="262"/>
      <c r="Q197" s="262"/>
    </row>
    <row r="198" spans="1:17" ht="14.1" customHeight="1">
      <c r="A198" s="261" t="s">
        <v>842</v>
      </c>
      <c r="B198" s="262"/>
      <c r="C198" s="263" t="s">
        <v>715</v>
      </c>
      <c r="D198" s="264">
        <v>250000</v>
      </c>
      <c r="E198" s="264">
        <v>0</v>
      </c>
      <c r="F198" s="269">
        <v>201</v>
      </c>
      <c r="G198" s="261" t="s">
        <v>612</v>
      </c>
      <c r="H198" s="262"/>
      <c r="I198" s="262"/>
      <c r="J198" s="265">
        <v>2051</v>
      </c>
      <c r="K198" s="272">
        <v>63.030999999999999</v>
      </c>
      <c r="L198" s="266">
        <v>1</v>
      </c>
      <c r="M198" s="266">
        <v>1</v>
      </c>
      <c r="N198" s="267">
        <v>5652.94</v>
      </c>
      <c r="O198" s="268">
        <v>45658</v>
      </c>
      <c r="P198" s="262"/>
      <c r="Q198" s="262"/>
    </row>
    <row r="199" spans="1:17" ht="14.1" customHeight="1">
      <c r="A199" s="261" t="s">
        <v>843</v>
      </c>
      <c r="B199" s="262"/>
      <c r="C199" s="263" t="s">
        <v>715</v>
      </c>
      <c r="D199" s="264">
        <v>250000</v>
      </c>
      <c r="E199" s="264">
        <v>0</v>
      </c>
      <c r="F199" s="269">
        <v>201</v>
      </c>
      <c r="G199" s="261" t="s">
        <v>612</v>
      </c>
      <c r="H199" s="262"/>
      <c r="I199" s="262"/>
      <c r="J199" s="265">
        <v>2051</v>
      </c>
      <c r="K199" s="272">
        <v>63.030999999999999</v>
      </c>
      <c r="L199" s="266">
        <v>5</v>
      </c>
      <c r="M199" s="266">
        <v>5</v>
      </c>
      <c r="N199" s="267">
        <v>7440</v>
      </c>
      <c r="O199" s="268">
        <v>45658</v>
      </c>
      <c r="P199" s="262"/>
      <c r="Q199" s="262"/>
    </row>
    <row r="200" spans="1:17" ht="14.1" customHeight="1">
      <c r="A200" s="261" t="s">
        <v>844</v>
      </c>
      <c r="B200" s="262"/>
      <c r="C200" s="263" t="s">
        <v>715</v>
      </c>
      <c r="D200" s="264">
        <v>250000</v>
      </c>
      <c r="E200" s="264">
        <v>0</v>
      </c>
      <c r="F200" s="269">
        <v>201</v>
      </c>
      <c r="G200" s="261" t="s">
        <v>612</v>
      </c>
      <c r="H200" s="262"/>
      <c r="I200" s="262"/>
      <c r="J200" s="265">
        <v>2051</v>
      </c>
      <c r="K200" s="272">
        <v>63.030999999999999</v>
      </c>
      <c r="L200" s="266">
        <v>5</v>
      </c>
      <c r="M200" s="266">
        <v>5</v>
      </c>
      <c r="N200" s="267">
        <v>7440</v>
      </c>
      <c r="O200" s="268">
        <v>45658</v>
      </c>
      <c r="P200" s="262"/>
      <c r="Q200" s="262"/>
    </row>
    <row r="201" spans="1:17" ht="14.1" customHeight="1">
      <c r="A201" s="261" t="s">
        <v>845</v>
      </c>
      <c r="B201" s="262"/>
      <c r="C201" s="263" t="s">
        <v>715</v>
      </c>
      <c r="D201" s="264">
        <v>250000</v>
      </c>
      <c r="E201" s="264">
        <v>0</v>
      </c>
      <c r="F201" s="269">
        <v>201</v>
      </c>
      <c r="G201" s="261" t="s">
        <v>612</v>
      </c>
      <c r="H201" s="262"/>
      <c r="I201" s="262"/>
      <c r="J201" s="265">
        <v>2051</v>
      </c>
      <c r="K201" s="272">
        <v>63.030999999999999</v>
      </c>
      <c r="L201" s="266">
        <v>3</v>
      </c>
      <c r="M201" s="266">
        <v>3</v>
      </c>
      <c r="N201" s="267">
        <v>4464</v>
      </c>
      <c r="O201" s="268">
        <v>45658</v>
      </c>
      <c r="P201" s="262"/>
      <c r="Q201" s="262"/>
    </row>
    <row r="202" spans="1:17" ht="14.1" customHeight="1">
      <c r="A202" s="261" t="s">
        <v>846</v>
      </c>
      <c r="B202" s="262"/>
      <c r="C202" s="263" t="s">
        <v>715</v>
      </c>
      <c r="D202" s="264">
        <v>250000</v>
      </c>
      <c r="E202" s="264">
        <v>0</v>
      </c>
      <c r="F202" s="269">
        <v>201</v>
      </c>
      <c r="G202" s="261" t="s">
        <v>612</v>
      </c>
      <c r="H202" s="262"/>
      <c r="I202" s="262"/>
      <c r="J202" s="265">
        <v>2051</v>
      </c>
      <c r="K202" s="272">
        <v>63.030999999999999</v>
      </c>
      <c r="L202" s="266">
        <v>3.5</v>
      </c>
      <c r="M202" s="266">
        <v>3.5</v>
      </c>
      <c r="N202" s="267">
        <v>5670</v>
      </c>
      <c r="O202" s="268">
        <v>45658</v>
      </c>
      <c r="P202" s="262"/>
      <c r="Q202" s="262"/>
    </row>
    <row r="203" spans="1:17" ht="14.1" customHeight="1">
      <c r="A203" s="261" t="s">
        <v>847</v>
      </c>
      <c r="B203" s="262"/>
      <c r="C203" s="263" t="s">
        <v>654</v>
      </c>
      <c r="D203" s="264">
        <v>250000</v>
      </c>
      <c r="E203" s="264">
        <v>0</v>
      </c>
      <c r="F203" s="269">
        <v>201</v>
      </c>
      <c r="G203" s="261" t="s">
        <v>612</v>
      </c>
      <c r="H203" s="262"/>
      <c r="I203" s="262"/>
      <c r="J203" s="265">
        <v>2051</v>
      </c>
      <c r="K203" s="270">
        <v>67051</v>
      </c>
      <c r="L203" s="266">
        <v>0.5</v>
      </c>
      <c r="M203" s="266">
        <v>0.5</v>
      </c>
      <c r="N203" s="271">
        <v>394.5</v>
      </c>
      <c r="O203" s="268">
        <v>45658</v>
      </c>
      <c r="P203" s="262"/>
      <c r="Q203" s="262"/>
    </row>
    <row r="204" spans="1:17" ht="14.1" customHeight="1">
      <c r="A204" s="261" t="s">
        <v>848</v>
      </c>
      <c r="B204" s="262"/>
      <c r="C204" s="263" t="s">
        <v>654</v>
      </c>
      <c r="D204" s="264">
        <v>250000</v>
      </c>
      <c r="E204" s="264">
        <v>0</v>
      </c>
      <c r="F204" s="269">
        <v>201</v>
      </c>
      <c r="G204" s="261" t="s">
        <v>612</v>
      </c>
      <c r="H204" s="262"/>
      <c r="I204" s="262"/>
      <c r="J204" s="265">
        <v>2051</v>
      </c>
      <c r="K204" s="270">
        <v>67051</v>
      </c>
      <c r="L204" s="266">
        <v>0.5</v>
      </c>
      <c r="M204" s="266">
        <v>0.5</v>
      </c>
      <c r="N204" s="271">
        <v>394.5</v>
      </c>
      <c r="O204" s="268">
        <v>45658</v>
      </c>
      <c r="P204" s="262"/>
      <c r="Q204" s="262"/>
    </row>
    <row r="205" spans="1:17" ht="14.1" customHeight="1">
      <c r="A205" s="261" t="s">
        <v>849</v>
      </c>
      <c r="B205" s="262"/>
      <c r="C205" s="263" t="s">
        <v>686</v>
      </c>
      <c r="D205" s="263" t="s">
        <v>835</v>
      </c>
      <c r="E205" s="264">
        <v>1</v>
      </c>
      <c r="F205" s="264">
        <v>1101</v>
      </c>
      <c r="G205" s="261" t="s">
        <v>612</v>
      </c>
      <c r="H205" s="262"/>
      <c r="I205" s="262"/>
      <c r="J205" s="265">
        <v>2382591</v>
      </c>
      <c r="K205" s="262"/>
      <c r="L205" s="266">
        <v>1</v>
      </c>
      <c r="M205" s="266">
        <v>1</v>
      </c>
      <c r="N205" s="267">
        <v>4075.2</v>
      </c>
      <c r="O205" s="268">
        <v>45658</v>
      </c>
      <c r="P205" s="262"/>
      <c r="Q205" s="262"/>
    </row>
    <row r="206" spans="1:17" ht="14.1" customHeight="1">
      <c r="A206" s="261" t="s">
        <v>850</v>
      </c>
      <c r="B206" s="262"/>
      <c r="C206" s="263" t="s">
        <v>686</v>
      </c>
      <c r="D206" s="263" t="s">
        <v>835</v>
      </c>
      <c r="E206" s="264">
        <v>1</v>
      </c>
      <c r="F206" s="264">
        <v>1101</v>
      </c>
      <c r="G206" s="261" t="s">
        <v>612</v>
      </c>
      <c r="H206" s="262"/>
      <c r="I206" s="262"/>
      <c r="J206" s="265">
        <v>2382591</v>
      </c>
      <c r="K206" s="262"/>
      <c r="L206" s="266">
        <v>1</v>
      </c>
      <c r="M206" s="266">
        <v>1</v>
      </c>
      <c r="N206" s="267">
        <v>4654.8</v>
      </c>
      <c r="O206" s="268">
        <v>45658</v>
      </c>
      <c r="P206" s="262"/>
      <c r="Q206" s="262"/>
    </row>
    <row r="207" spans="1:17" ht="14.1" customHeight="1">
      <c r="A207" s="261" t="s">
        <v>851</v>
      </c>
      <c r="B207" s="262"/>
      <c r="C207" s="263" t="s">
        <v>686</v>
      </c>
      <c r="D207" s="263" t="s">
        <v>835</v>
      </c>
      <c r="E207" s="264">
        <v>1</v>
      </c>
      <c r="F207" s="264">
        <v>1101</v>
      </c>
      <c r="G207" s="261" t="s">
        <v>612</v>
      </c>
      <c r="H207" s="262"/>
      <c r="I207" s="262"/>
      <c r="J207" s="265">
        <v>2382591</v>
      </c>
      <c r="K207" s="262"/>
      <c r="L207" s="266">
        <v>1</v>
      </c>
      <c r="M207" s="266">
        <v>1</v>
      </c>
      <c r="N207" s="271">
        <v>456</v>
      </c>
      <c r="O207" s="268">
        <v>45658</v>
      </c>
      <c r="P207" s="262"/>
      <c r="Q207" s="262"/>
    </row>
    <row r="208" spans="1:17" ht="14.1" customHeight="1">
      <c r="A208" s="261" t="s">
        <v>852</v>
      </c>
      <c r="B208" s="262"/>
      <c r="C208" s="263" t="s">
        <v>686</v>
      </c>
      <c r="D208" s="263" t="s">
        <v>835</v>
      </c>
      <c r="E208" s="264">
        <v>2</v>
      </c>
      <c r="F208" s="264">
        <v>1101</v>
      </c>
      <c r="G208" s="261" t="s">
        <v>612</v>
      </c>
      <c r="H208" s="262"/>
      <c r="I208" s="262"/>
      <c r="J208" s="265">
        <v>2382591</v>
      </c>
      <c r="K208" s="262"/>
      <c r="L208" s="266">
        <v>1</v>
      </c>
      <c r="M208" s="266">
        <v>1</v>
      </c>
      <c r="N208" s="271">
        <v>729.6</v>
      </c>
      <c r="O208" s="268">
        <v>45658</v>
      </c>
      <c r="P208" s="262"/>
      <c r="Q208" s="262"/>
    </row>
    <row r="209" spans="1:17" ht="14.1" customHeight="1">
      <c r="A209" s="261" t="s">
        <v>853</v>
      </c>
      <c r="B209" s="262"/>
      <c r="C209" s="263" t="s">
        <v>686</v>
      </c>
      <c r="D209" s="263" t="s">
        <v>835</v>
      </c>
      <c r="E209" s="264">
        <v>2</v>
      </c>
      <c r="F209" s="264">
        <v>1101</v>
      </c>
      <c r="G209" s="261" t="s">
        <v>612</v>
      </c>
      <c r="H209" s="262"/>
      <c r="I209" s="262"/>
      <c r="J209" s="265">
        <v>2382591</v>
      </c>
      <c r="K209" s="262"/>
      <c r="L209" s="266">
        <v>1</v>
      </c>
      <c r="M209" s="266">
        <v>1</v>
      </c>
      <c r="N209" s="267">
        <v>2188.8000000000002</v>
      </c>
      <c r="O209" s="268">
        <v>45658</v>
      </c>
      <c r="P209" s="262"/>
      <c r="Q209" s="262"/>
    </row>
    <row r="210" spans="1:17" ht="14.1" customHeight="1">
      <c r="A210" s="261" t="s">
        <v>854</v>
      </c>
      <c r="B210" s="262"/>
      <c r="C210" s="263" t="s">
        <v>733</v>
      </c>
      <c r="D210" s="263" t="s">
        <v>855</v>
      </c>
      <c r="E210" s="264">
        <v>0</v>
      </c>
      <c r="F210" s="263" t="s">
        <v>856</v>
      </c>
      <c r="G210" s="261" t="s">
        <v>612</v>
      </c>
      <c r="H210" s="262"/>
      <c r="I210" s="262"/>
      <c r="J210" s="265">
        <v>2051</v>
      </c>
      <c r="K210" s="270">
        <v>67055</v>
      </c>
      <c r="L210" s="266">
        <v>1</v>
      </c>
      <c r="M210" s="266">
        <v>1</v>
      </c>
      <c r="N210" s="267">
        <v>24617.14</v>
      </c>
      <c r="O210" s="268">
        <v>45658</v>
      </c>
      <c r="P210" s="262"/>
      <c r="Q210" s="262"/>
    </row>
    <row r="211" spans="1:17" ht="14.1" customHeight="1">
      <c r="A211" s="261" t="s">
        <v>857</v>
      </c>
      <c r="B211" s="262"/>
      <c r="C211" s="263" t="s">
        <v>733</v>
      </c>
      <c r="D211" s="263" t="s">
        <v>855</v>
      </c>
      <c r="E211" s="264">
        <v>0</v>
      </c>
      <c r="F211" s="263" t="s">
        <v>858</v>
      </c>
      <c r="G211" s="261" t="s">
        <v>612</v>
      </c>
      <c r="H211" s="262"/>
      <c r="I211" s="262"/>
      <c r="J211" s="265">
        <v>2051</v>
      </c>
      <c r="K211" s="270">
        <v>67055</v>
      </c>
      <c r="L211" s="266">
        <v>1</v>
      </c>
      <c r="M211" s="266">
        <v>1</v>
      </c>
      <c r="N211" s="267">
        <v>14024.72</v>
      </c>
      <c r="O211" s="268">
        <v>45658</v>
      </c>
      <c r="P211" s="262"/>
      <c r="Q211" s="262"/>
    </row>
    <row r="212" spans="1:17" ht="14.1" customHeight="1">
      <c r="A212" s="261" t="s">
        <v>859</v>
      </c>
      <c r="B212" s="262"/>
      <c r="C212" s="263" t="s">
        <v>733</v>
      </c>
      <c r="D212" s="263" t="s">
        <v>855</v>
      </c>
      <c r="E212" s="264">
        <v>0</v>
      </c>
      <c r="F212" s="263" t="s">
        <v>860</v>
      </c>
      <c r="G212" s="261" t="s">
        <v>612</v>
      </c>
      <c r="H212" s="262"/>
      <c r="I212" s="262"/>
      <c r="J212" s="265">
        <v>2051</v>
      </c>
      <c r="K212" s="270">
        <v>67055</v>
      </c>
      <c r="L212" s="266">
        <v>1</v>
      </c>
      <c r="M212" s="266">
        <v>1</v>
      </c>
      <c r="N212" s="267">
        <v>13359.85</v>
      </c>
      <c r="O212" s="268">
        <v>45658</v>
      </c>
      <c r="P212" s="262"/>
      <c r="Q212" s="262"/>
    </row>
    <row r="213" spans="1:17" ht="14.1" customHeight="1">
      <c r="A213" s="261" t="s">
        <v>861</v>
      </c>
      <c r="B213" s="262"/>
      <c r="C213" s="263" t="s">
        <v>733</v>
      </c>
      <c r="D213" s="263" t="s">
        <v>855</v>
      </c>
      <c r="E213" s="264">
        <v>0</v>
      </c>
      <c r="F213" s="263" t="s">
        <v>862</v>
      </c>
      <c r="G213" s="261" t="s">
        <v>612</v>
      </c>
      <c r="H213" s="262"/>
      <c r="I213" s="262"/>
      <c r="J213" s="265">
        <v>2051</v>
      </c>
      <c r="K213" s="270">
        <v>67055</v>
      </c>
      <c r="L213" s="266">
        <v>1</v>
      </c>
      <c r="M213" s="266">
        <v>1</v>
      </c>
      <c r="N213" s="267">
        <v>4830.2299999999996</v>
      </c>
      <c r="O213" s="268">
        <v>45658</v>
      </c>
      <c r="P213" s="262"/>
      <c r="Q213" s="262"/>
    </row>
    <row r="214" spans="1:17" ht="14.1" customHeight="1">
      <c r="A214" s="261" t="s">
        <v>863</v>
      </c>
      <c r="B214" s="262"/>
      <c r="C214" s="263" t="s">
        <v>733</v>
      </c>
      <c r="D214" s="263" t="s">
        <v>855</v>
      </c>
      <c r="E214" s="264">
        <v>0</v>
      </c>
      <c r="F214" s="263" t="s">
        <v>856</v>
      </c>
      <c r="G214" s="261" t="s">
        <v>612</v>
      </c>
      <c r="H214" s="262"/>
      <c r="I214" s="262"/>
      <c r="J214" s="265">
        <v>2051</v>
      </c>
      <c r="K214" s="270">
        <v>67055</v>
      </c>
      <c r="L214" s="266">
        <v>1</v>
      </c>
      <c r="M214" s="266">
        <v>1</v>
      </c>
      <c r="N214" s="267">
        <v>16190.32</v>
      </c>
      <c r="O214" s="268">
        <v>45658</v>
      </c>
      <c r="P214" s="262"/>
      <c r="Q214" s="262"/>
    </row>
    <row r="215" spans="1:17" ht="14.1" customHeight="1">
      <c r="A215" s="261" t="s">
        <v>864</v>
      </c>
      <c r="B215" s="262"/>
      <c r="C215" s="263" t="s">
        <v>733</v>
      </c>
      <c r="D215" s="263" t="s">
        <v>855</v>
      </c>
      <c r="E215" s="264">
        <v>0</v>
      </c>
      <c r="F215" s="263" t="s">
        <v>858</v>
      </c>
      <c r="G215" s="261" t="s">
        <v>612</v>
      </c>
      <c r="H215" s="262"/>
      <c r="I215" s="262"/>
      <c r="J215" s="265">
        <v>2051</v>
      </c>
      <c r="K215" s="270">
        <v>67055</v>
      </c>
      <c r="L215" s="266">
        <v>1</v>
      </c>
      <c r="M215" s="266">
        <v>1</v>
      </c>
      <c r="N215" s="267">
        <v>9223.85</v>
      </c>
      <c r="O215" s="268">
        <v>45658</v>
      </c>
      <c r="P215" s="262"/>
      <c r="Q215" s="262"/>
    </row>
    <row r="216" spans="1:17" ht="14.1" customHeight="1">
      <c r="A216" s="261" t="s">
        <v>865</v>
      </c>
      <c r="B216" s="262"/>
      <c r="C216" s="263" t="s">
        <v>733</v>
      </c>
      <c r="D216" s="263" t="s">
        <v>855</v>
      </c>
      <c r="E216" s="264">
        <v>0</v>
      </c>
      <c r="F216" s="263" t="s">
        <v>860</v>
      </c>
      <c r="G216" s="261" t="s">
        <v>612</v>
      </c>
      <c r="H216" s="262"/>
      <c r="I216" s="262"/>
      <c r="J216" s="265">
        <v>2051</v>
      </c>
      <c r="K216" s="270">
        <v>67055</v>
      </c>
      <c r="L216" s="266">
        <v>1</v>
      </c>
      <c r="M216" s="266">
        <v>1</v>
      </c>
      <c r="N216" s="267">
        <v>8786.57</v>
      </c>
      <c r="O216" s="268">
        <v>45658</v>
      </c>
      <c r="P216" s="262"/>
      <c r="Q216" s="262"/>
    </row>
    <row r="217" spans="1:17" ht="14.1" customHeight="1">
      <c r="A217" s="261" t="s">
        <v>866</v>
      </c>
      <c r="B217" s="262"/>
      <c r="C217" s="263" t="s">
        <v>733</v>
      </c>
      <c r="D217" s="263" t="s">
        <v>855</v>
      </c>
      <c r="E217" s="264">
        <v>0</v>
      </c>
      <c r="F217" s="263" t="s">
        <v>862</v>
      </c>
      <c r="G217" s="261" t="s">
        <v>612</v>
      </c>
      <c r="H217" s="262"/>
      <c r="I217" s="262"/>
      <c r="J217" s="265">
        <v>2051</v>
      </c>
      <c r="K217" s="270">
        <v>67055</v>
      </c>
      <c r="L217" s="266">
        <v>1</v>
      </c>
      <c r="M217" s="266">
        <v>1</v>
      </c>
      <c r="N217" s="267">
        <v>3167.33</v>
      </c>
      <c r="O217" s="268">
        <v>45658</v>
      </c>
      <c r="P217" s="262"/>
      <c r="Q217" s="262"/>
    </row>
    <row r="218" spans="1:17" ht="14.1" customHeight="1">
      <c r="A218" s="261" t="s">
        <v>867</v>
      </c>
      <c r="B218" s="262"/>
      <c r="C218" s="263" t="s">
        <v>868</v>
      </c>
      <c r="D218" s="263" t="s">
        <v>869</v>
      </c>
      <c r="E218" s="264">
        <v>2</v>
      </c>
      <c r="F218" s="264">
        <v>1101</v>
      </c>
      <c r="G218" s="261" t="s">
        <v>612</v>
      </c>
      <c r="H218" s="262"/>
      <c r="I218" s="262"/>
      <c r="J218" s="265">
        <v>2382591</v>
      </c>
      <c r="K218" s="262"/>
      <c r="L218" s="266">
        <v>1</v>
      </c>
      <c r="M218" s="266">
        <v>0.442</v>
      </c>
      <c r="N218" s="267">
        <v>13472.16</v>
      </c>
      <c r="O218" s="268">
        <v>45658</v>
      </c>
      <c r="P218" s="262"/>
      <c r="Q218" s="262"/>
    </row>
    <row r="219" spans="1:17" ht="14.1" customHeight="1">
      <c r="A219" s="261" t="s">
        <v>870</v>
      </c>
      <c r="B219" s="262"/>
      <c r="C219" s="263" t="s">
        <v>781</v>
      </c>
      <c r="D219" s="263" t="s">
        <v>871</v>
      </c>
      <c r="E219" s="264">
        <v>0</v>
      </c>
      <c r="F219" s="264">
        <v>9001</v>
      </c>
      <c r="G219" s="261" t="s">
        <v>872</v>
      </c>
      <c r="H219" s="262"/>
      <c r="I219" s="262"/>
      <c r="J219" s="265">
        <v>2051</v>
      </c>
      <c r="K219" s="270">
        <v>67051</v>
      </c>
      <c r="L219" s="266">
        <v>1</v>
      </c>
      <c r="M219" s="266">
        <v>1</v>
      </c>
      <c r="N219" s="267">
        <v>8259.17</v>
      </c>
      <c r="O219" s="268">
        <v>45658</v>
      </c>
      <c r="P219" s="262"/>
      <c r="Q219" s="262"/>
    </row>
    <row r="220" spans="1:17" ht="14.1" customHeight="1">
      <c r="A220" s="261" t="s">
        <v>873</v>
      </c>
      <c r="B220" s="262"/>
      <c r="C220" s="263" t="s">
        <v>781</v>
      </c>
      <c r="D220" s="263" t="s">
        <v>871</v>
      </c>
      <c r="E220" s="264">
        <v>0</v>
      </c>
      <c r="F220" s="264">
        <v>9001</v>
      </c>
      <c r="G220" s="261" t="s">
        <v>872</v>
      </c>
      <c r="H220" s="262"/>
      <c r="I220" s="262"/>
      <c r="J220" s="265">
        <v>2051</v>
      </c>
      <c r="K220" s="270">
        <v>67051</v>
      </c>
      <c r="L220" s="266">
        <v>12</v>
      </c>
      <c r="M220" s="266">
        <v>3</v>
      </c>
      <c r="N220" s="267">
        <v>5877.54</v>
      </c>
      <c r="O220" s="268">
        <v>45658</v>
      </c>
      <c r="P220" s="262"/>
      <c r="Q220" s="262"/>
    </row>
    <row r="221" spans="1:17" ht="14.1" customHeight="1">
      <c r="A221" s="261" t="s">
        <v>874</v>
      </c>
      <c r="B221" s="262"/>
      <c r="C221" s="263" t="s">
        <v>781</v>
      </c>
      <c r="D221" s="263" t="s">
        <v>871</v>
      </c>
      <c r="E221" s="264">
        <v>0</v>
      </c>
      <c r="F221" s="264">
        <v>9001</v>
      </c>
      <c r="G221" s="261" t="s">
        <v>872</v>
      </c>
      <c r="H221" s="262"/>
      <c r="I221" s="262"/>
      <c r="J221" s="265">
        <v>2051</v>
      </c>
      <c r="K221" s="270">
        <v>67051</v>
      </c>
      <c r="L221" s="266">
        <v>1</v>
      </c>
      <c r="M221" s="266">
        <v>1</v>
      </c>
      <c r="N221" s="267">
        <v>2522.4499999999998</v>
      </c>
      <c r="O221" s="268">
        <v>45658</v>
      </c>
      <c r="P221" s="262"/>
      <c r="Q221" s="262"/>
    </row>
    <row r="222" spans="1:17" ht="14.1" customHeight="1">
      <c r="A222" s="261" t="s">
        <v>875</v>
      </c>
      <c r="B222" s="262"/>
      <c r="C222" s="263" t="s">
        <v>781</v>
      </c>
      <c r="D222" s="263" t="s">
        <v>871</v>
      </c>
      <c r="E222" s="264">
        <v>0</v>
      </c>
      <c r="F222" s="264">
        <v>9001</v>
      </c>
      <c r="G222" s="261" t="s">
        <v>872</v>
      </c>
      <c r="H222" s="262"/>
      <c r="I222" s="262"/>
      <c r="J222" s="265">
        <v>2051</v>
      </c>
      <c r="K222" s="270">
        <v>67051</v>
      </c>
      <c r="L222" s="266">
        <v>1</v>
      </c>
      <c r="M222" s="266">
        <v>1</v>
      </c>
      <c r="N222" s="267">
        <v>2375.5100000000002</v>
      </c>
      <c r="O222" s="268">
        <v>45658</v>
      </c>
      <c r="P222" s="262"/>
      <c r="Q222" s="262"/>
    </row>
    <row r="223" spans="1:17" ht="14.1" customHeight="1">
      <c r="A223" s="261" t="s">
        <v>876</v>
      </c>
      <c r="B223" s="262"/>
      <c r="C223" s="263" t="s">
        <v>781</v>
      </c>
      <c r="D223" s="263" t="s">
        <v>871</v>
      </c>
      <c r="E223" s="264">
        <v>0</v>
      </c>
      <c r="F223" s="264">
        <v>9001</v>
      </c>
      <c r="G223" s="261" t="s">
        <v>872</v>
      </c>
      <c r="H223" s="262"/>
      <c r="I223" s="262"/>
      <c r="J223" s="265">
        <v>2051</v>
      </c>
      <c r="K223" s="270">
        <v>67051</v>
      </c>
      <c r="L223" s="266">
        <v>1</v>
      </c>
      <c r="M223" s="266">
        <v>1</v>
      </c>
      <c r="N223" s="267">
        <v>2791.84</v>
      </c>
      <c r="O223" s="268">
        <v>45658</v>
      </c>
      <c r="P223" s="262"/>
      <c r="Q223" s="262"/>
    </row>
    <row r="224" spans="1:17" ht="14.1" customHeight="1">
      <c r="A224" s="261" t="s">
        <v>877</v>
      </c>
      <c r="B224" s="262"/>
      <c r="C224" s="263" t="s">
        <v>878</v>
      </c>
      <c r="D224" s="264">
        <v>250000</v>
      </c>
      <c r="E224" s="264">
        <v>0</v>
      </c>
      <c r="F224" s="264">
        <v>2501</v>
      </c>
      <c r="G224" s="261" t="s">
        <v>879</v>
      </c>
      <c r="H224" s="262"/>
      <c r="I224" s="262"/>
      <c r="J224" s="265">
        <v>2154111</v>
      </c>
      <c r="K224" s="270">
        <v>18671</v>
      </c>
      <c r="L224" s="266">
        <v>1</v>
      </c>
      <c r="M224" s="266">
        <v>1</v>
      </c>
      <c r="N224" s="267">
        <v>19995.75</v>
      </c>
      <c r="O224" s="268">
        <v>45658</v>
      </c>
      <c r="P224" s="262"/>
      <c r="Q224" s="262"/>
    </row>
    <row r="225" spans="1:17" ht="14.1" customHeight="1">
      <c r="A225" s="261" t="s">
        <v>880</v>
      </c>
      <c r="B225" s="262"/>
      <c r="C225" s="263" t="s">
        <v>878</v>
      </c>
      <c r="D225" s="264">
        <v>250000</v>
      </c>
      <c r="E225" s="264">
        <v>0</v>
      </c>
      <c r="F225" s="264">
        <v>2501</v>
      </c>
      <c r="G225" s="261" t="s">
        <v>879</v>
      </c>
      <c r="H225" s="262"/>
      <c r="I225" s="262"/>
      <c r="J225" s="265">
        <v>2154111</v>
      </c>
      <c r="K225" s="270">
        <v>18671</v>
      </c>
      <c r="L225" s="266">
        <v>1</v>
      </c>
      <c r="M225" s="266">
        <v>1</v>
      </c>
      <c r="N225" s="271">
        <v>0</v>
      </c>
      <c r="O225" s="268">
        <v>45658</v>
      </c>
      <c r="P225" s="262"/>
      <c r="Q225" s="262"/>
    </row>
    <row r="226" spans="1:17" ht="14.1" customHeight="1">
      <c r="A226" s="261" t="s">
        <v>881</v>
      </c>
      <c r="B226" s="262"/>
      <c r="C226" s="263" t="s">
        <v>878</v>
      </c>
      <c r="D226" s="264">
        <v>250000</v>
      </c>
      <c r="E226" s="264">
        <v>0</v>
      </c>
      <c r="F226" s="264">
        <v>2501</v>
      </c>
      <c r="G226" s="261" t="s">
        <v>879</v>
      </c>
      <c r="H226" s="262"/>
      <c r="I226" s="262"/>
      <c r="J226" s="265">
        <v>2154111</v>
      </c>
      <c r="K226" s="270">
        <v>18671</v>
      </c>
      <c r="L226" s="266">
        <v>1</v>
      </c>
      <c r="M226" s="266">
        <v>1</v>
      </c>
      <c r="N226" s="267">
        <v>3637</v>
      </c>
      <c r="O226" s="268">
        <v>45658</v>
      </c>
      <c r="P226" s="262"/>
      <c r="Q226" s="262"/>
    </row>
    <row r="227" spans="1:17" ht="14.1" customHeight="1">
      <c r="A227" s="261" t="s">
        <v>882</v>
      </c>
      <c r="B227" s="262"/>
      <c r="C227" s="263" t="s">
        <v>749</v>
      </c>
      <c r="D227" s="263" t="s">
        <v>883</v>
      </c>
      <c r="E227" s="264">
        <v>0</v>
      </c>
      <c r="F227" s="264">
        <v>2501</v>
      </c>
      <c r="G227" s="261" t="s">
        <v>879</v>
      </c>
      <c r="H227" s="262"/>
      <c r="I227" s="262"/>
      <c r="J227" s="265">
        <v>2051</v>
      </c>
      <c r="K227" s="275">
        <v>36.081000000000003</v>
      </c>
      <c r="L227" s="266">
        <v>1</v>
      </c>
      <c r="M227" s="266">
        <v>1</v>
      </c>
      <c r="N227" s="267">
        <v>27996</v>
      </c>
      <c r="O227" s="268">
        <v>45658</v>
      </c>
      <c r="P227" s="262"/>
      <c r="Q227" s="262"/>
    </row>
    <row r="228" spans="1:17" ht="14.1" customHeight="1">
      <c r="A228" s="261" t="s">
        <v>884</v>
      </c>
      <c r="B228" s="262"/>
      <c r="C228" s="263" t="s">
        <v>749</v>
      </c>
      <c r="D228" s="263" t="s">
        <v>883</v>
      </c>
      <c r="E228" s="264">
        <v>0</v>
      </c>
      <c r="F228" s="264">
        <v>2501</v>
      </c>
      <c r="G228" s="261" t="s">
        <v>879</v>
      </c>
      <c r="H228" s="262"/>
      <c r="I228" s="262"/>
      <c r="J228" s="265">
        <v>2051</v>
      </c>
      <c r="K228" s="275">
        <v>36.081000000000003</v>
      </c>
      <c r="L228" s="266">
        <v>1</v>
      </c>
      <c r="M228" s="266">
        <v>1</v>
      </c>
      <c r="N228" s="271">
        <v>0</v>
      </c>
      <c r="O228" s="268">
        <v>45658</v>
      </c>
      <c r="P228" s="262"/>
      <c r="Q228" s="262"/>
    </row>
    <row r="229" spans="1:17" ht="14.1" customHeight="1">
      <c r="A229" s="261" t="s">
        <v>885</v>
      </c>
      <c r="B229" s="262"/>
      <c r="C229" s="263" t="s">
        <v>749</v>
      </c>
      <c r="D229" s="263" t="s">
        <v>883</v>
      </c>
      <c r="E229" s="264">
        <v>0</v>
      </c>
      <c r="F229" s="264">
        <v>2501</v>
      </c>
      <c r="G229" s="261" t="s">
        <v>879</v>
      </c>
      <c r="H229" s="262"/>
      <c r="I229" s="262"/>
      <c r="J229" s="265">
        <v>2051</v>
      </c>
      <c r="K229" s="275">
        <v>36.081000000000003</v>
      </c>
      <c r="L229" s="266">
        <v>2</v>
      </c>
      <c r="M229" s="266">
        <v>2</v>
      </c>
      <c r="N229" s="271">
        <v>624</v>
      </c>
      <c r="O229" s="268">
        <v>45658</v>
      </c>
      <c r="P229" s="262"/>
      <c r="Q229" s="262"/>
    </row>
    <row r="230" spans="1:17" ht="14.1" customHeight="1">
      <c r="A230" s="261" t="s">
        <v>886</v>
      </c>
      <c r="B230" s="262"/>
      <c r="C230" s="263" t="s">
        <v>749</v>
      </c>
      <c r="D230" s="263" t="s">
        <v>883</v>
      </c>
      <c r="E230" s="264">
        <v>0</v>
      </c>
      <c r="F230" s="264">
        <v>2501</v>
      </c>
      <c r="G230" s="261" t="s">
        <v>879</v>
      </c>
      <c r="H230" s="262"/>
      <c r="I230" s="262"/>
      <c r="J230" s="265">
        <v>2051</v>
      </c>
      <c r="K230" s="275">
        <v>36.081000000000003</v>
      </c>
      <c r="L230" s="266">
        <v>2</v>
      </c>
      <c r="M230" s="266">
        <v>2</v>
      </c>
      <c r="N230" s="271">
        <v>84</v>
      </c>
      <c r="O230" s="268">
        <v>45658</v>
      </c>
      <c r="P230" s="262"/>
      <c r="Q230" s="262"/>
    </row>
    <row r="231" spans="1:17" ht="14.1" customHeight="1">
      <c r="A231" s="261" t="s">
        <v>887</v>
      </c>
      <c r="B231" s="262"/>
      <c r="C231" s="263" t="s">
        <v>749</v>
      </c>
      <c r="D231" s="263" t="s">
        <v>883</v>
      </c>
      <c r="E231" s="264">
        <v>0</v>
      </c>
      <c r="F231" s="264">
        <v>2501</v>
      </c>
      <c r="G231" s="261" t="s">
        <v>879</v>
      </c>
      <c r="H231" s="262"/>
      <c r="I231" s="262"/>
      <c r="J231" s="265">
        <v>2051</v>
      </c>
      <c r="K231" s="275">
        <v>36.081000000000003</v>
      </c>
      <c r="L231" s="266">
        <v>3</v>
      </c>
      <c r="M231" s="266">
        <v>3</v>
      </c>
      <c r="N231" s="267">
        <v>4539.6000000000004</v>
      </c>
      <c r="O231" s="268">
        <v>45658</v>
      </c>
      <c r="P231" s="262"/>
      <c r="Q231" s="262"/>
    </row>
    <row r="232" spans="1:17" ht="14.1" customHeight="1">
      <c r="A232" s="261" t="s">
        <v>888</v>
      </c>
      <c r="B232" s="262"/>
      <c r="C232" s="263" t="s">
        <v>749</v>
      </c>
      <c r="D232" s="263" t="s">
        <v>883</v>
      </c>
      <c r="E232" s="264">
        <v>0</v>
      </c>
      <c r="F232" s="264">
        <v>2501</v>
      </c>
      <c r="G232" s="261" t="s">
        <v>879</v>
      </c>
      <c r="H232" s="262"/>
      <c r="I232" s="262"/>
      <c r="J232" s="265">
        <v>2051</v>
      </c>
      <c r="K232" s="275">
        <v>36.081000000000003</v>
      </c>
      <c r="L232" s="266">
        <v>4</v>
      </c>
      <c r="M232" s="266">
        <v>4</v>
      </c>
      <c r="N232" s="267">
        <v>6052.8</v>
      </c>
      <c r="O232" s="268">
        <v>45658</v>
      </c>
      <c r="P232" s="262"/>
      <c r="Q232" s="262"/>
    </row>
    <row r="233" spans="1:17" ht="14.1" customHeight="1">
      <c r="A233" s="261" t="s">
        <v>889</v>
      </c>
      <c r="B233" s="262"/>
      <c r="C233" s="263" t="s">
        <v>749</v>
      </c>
      <c r="D233" s="263" t="s">
        <v>883</v>
      </c>
      <c r="E233" s="264">
        <v>0</v>
      </c>
      <c r="F233" s="264">
        <v>2501</v>
      </c>
      <c r="G233" s="261" t="s">
        <v>879</v>
      </c>
      <c r="H233" s="262"/>
      <c r="I233" s="262"/>
      <c r="J233" s="265">
        <v>2051</v>
      </c>
      <c r="K233" s="275">
        <v>36.081000000000003</v>
      </c>
      <c r="L233" s="266">
        <v>3</v>
      </c>
      <c r="M233" s="266">
        <v>3</v>
      </c>
      <c r="N233" s="267">
        <v>5695.2</v>
      </c>
      <c r="O233" s="268">
        <v>45658</v>
      </c>
      <c r="P233" s="262"/>
      <c r="Q233" s="262"/>
    </row>
    <row r="234" spans="1:17" ht="14.1" customHeight="1">
      <c r="A234" s="261" t="s">
        <v>890</v>
      </c>
      <c r="B234" s="262"/>
      <c r="C234" s="263" t="s">
        <v>749</v>
      </c>
      <c r="D234" s="263" t="s">
        <v>883</v>
      </c>
      <c r="E234" s="264">
        <v>0</v>
      </c>
      <c r="F234" s="264">
        <v>2501</v>
      </c>
      <c r="G234" s="261" t="s">
        <v>879</v>
      </c>
      <c r="H234" s="262"/>
      <c r="I234" s="262"/>
      <c r="J234" s="265">
        <v>2051</v>
      </c>
      <c r="K234" s="275">
        <v>36.081000000000003</v>
      </c>
      <c r="L234" s="266">
        <v>3</v>
      </c>
      <c r="M234" s="266">
        <v>3</v>
      </c>
      <c r="N234" s="267">
        <v>5695.2</v>
      </c>
      <c r="O234" s="268">
        <v>45658</v>
      </c>
      <c r="P234" s="262"/>
      <c r="Q234" s="262"/>
    </row>
    <row r="235" spans="1:17" ht="14.1" customHeight="1">
      <c r="A235" s="261" t="s">
        <v>891</v>
      </c>
      <c r="B235" s="262"/>
      <c r="C235" s="263" t="s">
        <v>749</v>
      </c>
      <c r="D235" s="263" t="s">
        <v>883</v>
      </c>
      <c r="E235" s="264">
        <v>0</v>
      </c>
      <c r="F235" s="264">
        <v>2501</v>
      </c>
      <c r="G235" s="261" t="s">
        <v>879</v>
      </c>
      <c r="H235" s="262"/>
      <c r="I235" s="262"/>
      <c r="J235" s="265">
        <v>2051</v>
      </c>
      <c r="K235" s="275">
        <v>36.081000000000003</v>
      </c>
      <c r="L235" s="266">
        <v>1</v>
      </c>
      <c r="M235" s="266">
        <v>1</v>
      </c>
      <c r="N235" s="267">
        <v>2952</v>
      </c>
      <c r="O235" s="268">
        <v>45658</v>
      </c>
      <c r="P235" s="262"/>
      <c r="Q235" s="262"/>
    </row>
    <row r="236" spans="1:17" ht="14.1" customHeight="1">
      <c r="A236" s="261" t="s">
        <v>892</v>
      </c>
      <c r="B236" s="262"/>
      <c r="C236" s="263" t="s">
        <v>749</v>
      </c>
      <c r="D236" s="263" t="s">
        <v>883</v>
      </c>
      <c r="E236" s="264">
        <v>0</v>
      </c>
      <c r="F236" s="264">
        <v>2501</v>
      </c>
      <c r="G236" s="261" t="s">
        <v>879</v>
      </c>
      <c r="H236" s="262"/>
      <c r="I236" s="262"/>
      <c r="J236" s="265">
        <v>2051</v>
      </c>
      <c r="K236" s="275">
        <v>36.081000000000003</v>
      </c>
      <c r="L236" s="266">
        <v>1</v>
      </c>
      <c r="M236" s="266">
        <v>1</v>
      </c>
      <c r="N236" s="271">
        <v>312</v>
      </c>
      <c r="O236" s="268">
        <v>45658</v>
      </c>
      <c r="P236" s="262"/>
      <c r="Q236" s="262"/>
    </row>
    <row r="237" spans="1:17" ht="14.1" customHeight="1">
      <c r="A237" s="261" t="s">
        <v>893</v>
      </c>
      <c r="B237" s="262"/>
      <c r="C237" s="263" t="s">
        <v>749</v>
      </c>
      <c r="D237" s="263" t="s">
        <v>883</v>
      </c>
      <c r="E237" s="264">
        <v>0</v>
      </c>
      <c r="F237" s="264">
        <v>2501</v>
      </c>
      <c r="G237" s="261" t="s">
        <v>879</v>
      </c>
      <c r="H237" s="262"/>
      <c r="I237" s="262"/>
      <c r="J237" s="265">
        <v>2051</v>
      </c>
      <c r="K237" s="275">
        <v>36.081000000000003</v>
      </c>
      <c r="L237" s="266">
        <v>1</v>
      </c>
      <c r="M237" s="266">
        <v>1</v>
      </c>
      <c r="N237" s="271">
        <v>42</v>
      </c>
      <c r="O237" s="268">
        <v>45658</v>
      </c>
      <c r="P237" s="262"/>
      <c r="Q237" s="262"/>
    </row>
    <row r="238" spans="1:17" ht="14.1" customHeight="1">
      <c r="A238" s="261" t="s">
        <v>894</v>
      </c>
      <c r="B238" s="262"/>
      <c r="C238" s="263" t="s">
        <v>749</v>
      </c>
      <c r="D238" s="263" t="s">
        <v>883</v>
      </c>
      <c r="E238" s="264">
        <v>0</v>
      </c>
      <c r="F238" s="264">
        <v>2501</v>
      </c>
      <c r="G238" s="261" t="s">
        <v>879</v>
      </c>
      <c r="H238" s="262"/>
      <c r="I238" s="262"/>
      <c r="J238" s="265">
        <v>2051</v>
      </c>
      <c r="K238" s="275">
        <v>36.081000000000003</v>
      </c>
      <c r="L238" s="266">
        <v>3</v>
      </c>
      <c r="M238" s="266">
        <v>3</v>
      </c>
      <c r="N238" s="267">
        <v>4539.6000000000004</v>
      </c>
      <c r="O238" s="268">
        <v>45658</v>
      </c>
      <c r="P238" s="262"/>
      <c r="Q238" s="262"/>
    </row>
    <row r="239" spans="1:17" ht="14.1" customHeight="1">
      <c r="A239" s="261" t="s">
        <v>895</v>
      </c>
      <c r="B239" s="262"/>
      <c r="C239" s="263" t="s">
        <v>749</v>
      </c>
      <c r="D239" s="263" t="s">
        <v>883</v>
      </c>
      <c r="E239" s="264">
        <v>0</v>
      </c>
      <c r="F239" s="264">
        <v>2501</v>
      </c>
      <c r="G239" s="261" t="s">
        <v>879</v>
      </c>
      <c r="H239" s="262"/>
      <c r="I239" s="262"/>
      <c r="J239" s="265">
        <v>2051</v>
      </c>
      <c r="K239" s="275">
        <v>36.081000000000003</v>
      </c>
      <c r="L239" s="266">
        <v>4</v>
      </c>
      <c r="M239" s="266">
        <v>4</v>
      </c>
      <c r="N239" s="267">
        <v>6052.8</v>
      </c>
      <c r="O239" s="268">
        <v>45658</v>
      </c>
      <c r="P239" s="262"/>
      <c r="Q239" s="262"/>
    </row>
    <row r="240" spans="1:17" ht="14.1" customHeight="1">
      <c r="A240" s="261" t="s">
        <v>896</v>
      </c>
      <c r="B240" s="262"/>
      <c r="C240" s="263" t="s">
        <v>749</v>
      </c>
      <c r="D240" s="263" t="s">
        <v>883</v>
      </c>
      <c r="E240" s="264">
        <v>0</v>
      </c>
      <c r="F240" s="264">
        <v>2501</v>
      </c>
      <c r="G240" s="261" t="s">
        <v>879</v>
      </c>
      <c r="H240" s="262"/>
      <c r="I240" s="262"/>
      <c r="J240" s="265">
        <v>2051</v>
      </c>
      <c r="K240" s="275">
        <v>36.081000000000003</v>
      </c>
      <c r="L240" s="266">
        <v>1</v>
      </c>
      <c r="M240" s="266">
        <v>1</v>
      </c>
      <c r="N240" s="267">
        <v>1513.2</v>
      </c>
      <c r="O240" s="268">
        <v>45658</v>
      </c>
      <c r="P240" s="262"/>
      <c r="Q240" s="262"/>
    </row>
    <row r="241" spans="1:17" ht="14.1" customHeight="1">
      <c r="A241" s="261" t="s">
        <v>897</v>
      </c>
      <c r="B241" s="262"/>
      <c r="C241" s="263" t="s">
        <v>631</v>
      </c>
      <c r="D241" s="263" t="s">
        <v>632</v>
      </c>
      <c r="E241" s="264">
        <v>0</v>
      </c>
      <c r="F241" s="269">
        <v>201</v>
      </c>
      <c r="G241" s="261" t="s">
        <v>612</v>
      </c>
      <c r="H241" s="262"/>
      <c r="I241" s="262"/>
      <c r="J241" s="265">
        <v>2052</v>
      </c>
      <c r="K241" s="270">
        <v>67047</v>
      </c>
      <c r="L241" s="266">
        <v>1</v>
      </c>
      <c r="M241" s="266">
        <v>1</v>
      </c>
      <c r="N241" s="267">
        <v>3300</v>
      </c>
      <c r="O241" s="268">
        <v>45658</v>
      </c>
      <c r="P241" s="262"/>
      <c r="Q241" s="262"/>
    </row>
    <row r="242" spans="1:17" ht="14.1" customHeight="1">
      <c r="A242" s="261" t="s">
        <v>898</v>
      </c>
      <c r="B242" s="262"/>
      <c r="C242" s="263" t="s">
        <v>631</v>
      </c>
      <c r="D242" s="263" t="s">
        <v>632</v>
      </c>
      <c r="E242" s="264">
        <v>0</v>
      </c>
      <c r="F242" s="269">
        <v>201</v>
      </c>
      <c r="G242" s="261" t="s">
        <v>612</v>
      </c>
      <c r="H242" s="262"/>
      <c r="I242" s="262"/>
      <c r="J242" s="265">
        <v>2052</v>
      </c>
      <c r="K242" s="270">
        <v>67047</v>
      </c>
      <c r="L242" s="266">
        <v>1</v>
      </c>
      <c r="M242" s="266">
        <v>1</v>
      </c>
      <c r="N242" s="267">
        <v>23120</v>
      </c>
      <c r="O242" s="268">
        <v>45658</v>
      </c>
      <c r="P242" s="262"/>
      <c r="Q242" s="262"/>
    </row>
    <row r="243" spans="1:17" ht="14.1" customHeight="1">
      <c r="A243" s="261" t="s">
        <v>899</v>
      </c>
      <c r="B243" s="262"/>
      <c r="C243" s="263" t="s">
        <v>631</v>
      </c>
      <c r="D243" s="263" t="s">
        <v>632</v>
      </c>
      <c r="E243" s="264">
        <v>0</v>
      </c>
      <c r="F243" s="269">
        <v>201</v>
      </c>
      <c r="G243" s="261" t="s">
        <v>612</v>
      </c>
      <c r="H243" s="262"/>
      <c r="I243" s="262"/>
      <c r="J243" s="265">
        <v>2052</v>
      </c>
      <c r="K243" s="270">
        <v>67047</v>
      </c>
      <c r="L243" s="266">
        <v>1</v>
      </c>
      <c r="M243" s="266">
        <v>1</v>
      </c>
      <c r="N243" s="267">
        <v>3865</v>
      </c>
      <c r="O243" s="268">
        <v>45658</v>
      </c>
      <c r="P243" s="262"/>
      <c r="Q243" s="262"/>
    </row>
    <row r="244" spans="1:17" ht="14.1" customHeight="1">
      <c r="A244" s="261" t="s">
        <v>900</v>
      </c>
      <c r="B244" s="262"/>
      <c r="C244" s="263" t="s">
        <v>631</v>
      </c>
      <c r="D244" s="263" t="s">
        <v>632</v>
      </c>
      <c r="E244" s="264">
        <v>0</v>
      </c>
      <c r="F244" s="269">
        <v>201</v>
      </c>
      <c r="G244" s="261" t="s">
        <v>612</v>
      </c>
      <c r="H244" s="262"/>
      <c r="I244" s="262"/>
      <c r="J244" s="265">
        <v>2052</v>
      </c>
      <c r="K244" s="270">
        <v>67047</v>
      </c>
      <c r="L244" s="266">
        <v>1</v>
      </c>
      <c r="M244" s="266">
        <v>1</v>
      </c>
      <c r="N244" s="267">
        <v>5295</v>
      </c>
      <c r="O244" s="268">
        <v>45658</v>
      </c>
      <c r="P244" s="262"/>
      <c r="Q244" s="262"/>
    </row>
    <row r="245" spans="1:17" ht="14.1" customHeight="1">
      <c r="A245" s="261" t="s">
        <v>901</v>
      </c>
      <c r="B245" s="262"/>
      <c r="C245" s="263" t="s">
        <v>631</v>
      </c>
      <c r="D245" s="263" t="s">
        <v>632</v>
      </c>
      <c r="E245" s="264">
        <v>0</v>
      </c>
      <c r="F245" s="269">
        <v>201</v>
      </c>
      <c r="G245" s="261" t="s">
        <v>612</v>
      </c>
      <c r="H245" s="262"/>
      <c r="I245" s="262"/>
      <c r="J245" s="265">
        <v>2052</v>
      </c>
      <c r="K245" s="270">
        <v>67047</v>
      </c>
      <c r="L245" s="266">
        <v>1</v>
      </c>
      <c r="M245" s="266">
        <v>1</v>
      </c>
      <c r="N245" s="267">
        <v>18810</v>
      </c>
      <c r="O245" s="268">
        <v>45658</v>
      </c>
      <c r="P245" s="262"/>
      <c r="Q245" s="262"/>
    </row>
    <row r="246" spans="1:17" ht="14.1" customHeight="1">
      <c r="A246" s="261" t="s">
        <v>902</v>
      </c>
      <c r="B246" s="262"/>
      <c r="C246" s="263" t="s">
        <v>631</v>
      </c>
      <c r="D246" s="263" t="s">
        <v>632</v>
      </c>
      <c r="E246" s="264">
        <v>0</v>
      </c>
      <c r="F246" s="269">
        <v>201</v>
      </c>
      <c r="G246" s="261" t="s">
        <v>612</v>
      </c>
      <c r="H246" s="262"/>
      <c r="I246" s="262"/>
      <c r="J246" s="265">
        <v>2052</v>
      </c>
      <c r="K246" s="270">
        <v>67047</v>
      </c>
      <c r="L246" s="266">
        <v>1</v>
      </c>
      <c r="M246" s="266">
        <v>1</v>
      </c>
      <c r="N246" s="267">
        <v>18810</v>
      </c>
      <c r="O246" s="268">
        <v>45658</v>
      </c>
      <c r="P246" s="262"/>
      <c r="Q246" s="262"/>
    </row>
    <row r="247" spans="1:17" ht="14.1" customHeight="1">
      <c r="A247" s="261" t="s">
        <v>903</v>
      </c>
      <c r="B247" s="262"/>
      <c r="C247" s="263" t="s">
        <v>631</v>
      </c>
      <c r="D247" s="263" t="s">
        <v>632</v>
      </c>
      <c r="E247" s="264">
        <v>0</v>
      </c>
      <c r="F247" s="269">
        <v>201</v>
      </c>
      <c r="G247" s="261" t="s">
        <v>612</v>
      </c>
      <c r="H247" s="262"/>
      <c r="I247" s="262"/>
      <c r="J247" s="265">
        <v>2052</v>
      </c>
      <c r="K247" s="270">
        <v>67047</v>
      </c>
      <c r="L247" s="266">
        <v>1</v>
      </c>
      <c r="M247" s="266">
        <v>1</v>
      </c>
      <c r="N247" s="267">
        <v>5557.5</v>
      </c>
      <c r="O247" s="268">
        <v>45658</v>
      </c>
      <c r="P247" s="262"/>
      <c r="Q247" s="262"/>
    </row>
    <row r="248" spans="1:17" ht="14.1" customHeight="1">
      <c r="A248" s="261" t="s">
        <v>904</v>
      </c>
      <c r="B248" s="262"/>
      <c r="C248" s="263" t="s">
        <v>905</v>
      </c>
      <c r="D248" s="263" t="s">
        <v>906</v>
      </c>
      <c r="E248" s="264">
        <v>0</v>
      </c>
      <c r="F248" s="269">
        <v>201</v>
      </c>
      <c r="G248" s="261" t="s">
        <v>612</v>
      </c>
      <c r="H248" s="262"/>
      <c r="I248" s="262"/>
      <c r="J248" s="265">
        <v>2051</v>
      </c>
      <c r="K248" s="275">
        <v>36.087000000000003</v>
      </c>
      <c r="L248" s="266">
        <v>1</v>
      </c>
      <c r="M248" s="266">
        <v>1</v>
      </c>
      <c r="N248" s="267">
        <v>22440</v>
      </c>
      <c r="O248" s="268">
        <v>45658</v>
      </c>
      <c r="P248" s="262"/>
      <c r="Q248" s="262"/>
    </row>
    <row r="249" spans="1:17" ht="14.1" customHeight="1">
      <c r="A249" s="261" t="s">
        <v>907</v>
      </c>
      <c r="B249" s="262"/>
      <c r="C249" s="263" t="s">
        <v>905</v>
      </c>
      <c r="D249" s="263" t="s">
        <v>906</v>
      </c>
      <c r="E249" s="264">
        <v>0</v>
      </c>
      <c r="F249" s="269">
        <v>201</v>
      </c>
      <c r="G249" s="261" t="s">
        <v>612</v>
      </c>
      <c r="H249" s="262"/>
      <c r="I249" s="262"/>
      <c r="J249" s="265">
        <v>2051</v>
      </c>
      <c r="K249" s="275">
        <v>36.087000000000003</v>
      </c>
      <c r="L249" s="266">
        <v>1</v>
      </c>
      <c r="M249" s="266">
        <v>1</v>
      </c>
      <c r="N249" s="267">
        <v>3060</v>
      </c>
      <c r="O249" s="268">
        <v>45658</v>
      </c>
      <c r="P249" s="262"/>
      <c r="Q249" s="262"/>
    </row>
    <row r="250" spans="1:17" ht="14.1" customHeight="1">
      <c r="A250" s="261" t="s">
        <v>908</v>
      </c>
      <c r="B250" s="262"/>
      <c r="C250" s="263" t="s">
        <v>905</v>
      </c>
      <c r="D250" s="263" t="s">
        <v>906</v>
      </c>
      <c r="E250" s="264">
        <v>0</v>
      </c>
      <c r="F250" s="269">
        <v>201</v>
      </c>
      <c r="G250" s="261" t="s">
        <v>612</v>
      </c>
      <c r="H250" s="262"/>
      <c r="I250" s="262"/>
      <c r="J250" s="265">
        <v>2051</v>
      </c>
      <c r="K250" s="275">
        <v>36.087000000000003</v>
      </c>
      <c r="L250" s="266">
        <v>1</v>
      </c>
      <c r="M250" s="266">
        <v>1</v>
      </c>
      <c r="N250" s="267">
        <v>1288.2</v>
      </c>
      <c r="O250" s="268">
        <v>45658</v>
      </c>
      <c r="P250" s="262"/>
      <c r="Q250" s="262"/>
    </row>
    <row r="251" spans="1:17" ht="14.1" customHeight="1">
      <c r="A251" s="261" t="s">
        <v>909</v>
      </c>
      <c r="B251" s="262"/>
      <c r="C251" s="263" t="s">
        <v>905</v>
      </c>
      <c r="D251" s="263" t="s">
        <v>906</v>
      </c>
      <c r="E251" s="264">
        <v>0</v>
      </c>
      <c r="F251" s="269">
        <v>201</v>
      </c>
      <c r="G251" s="261" t="s">
        <v>612</v>
      </c>
      <c r="H251" s="262"/>
      <c r="I251" s="262"/>
      <c r="J251" s="265">
        <v>2051</v>
      </c>
      <c r="K251" s="275">
        <v>36.087000000000003</v>
      </c>
      <c r="L251" s="266">
        <v>8</v>
      </c>
      <c r="M251" s="266">
        <v>8</v>
      </c>
      <c r="N251" s="267">
        <v>10305.6</v>
      </c>
      <c r="O251" s="268">
        <v>45658</v>
      </c>
      <c r="P251" s="262"/>
      <c r="Q251" s="262"/>
    </row>
    <row r="252" spans="1:17" ht="14.1" customHeight="1">
      <c r="A252" s="261" t="s">
        <v>910</v>
      </c>
      <c r="B252" s="262"/>
      <c r="C252" s="263" t="s">
        <v>905</v>
      </c>
      <c r="D252" s="263" t="s">
        <v>906</v>
      </c>
      <c r="E252" s="264">
        <v>0</v>
      </c>
      <c r="F252" s="269">
        <v>201</v>
      </c>
      <c r="G252" s="261" t="s">
        <v>612</v>
      </c>
      <c r="H252" s="262"/>
      <c r="I252" s="262"/>
      <c r="J252" s="265">
        <v>2051</v>
      </c>
      <c r="K252" s="275">
        <v>36.087000000000003</v>
      </c>
      <c r="L252" s="266">
        <v>2</v>
      </c>
      <c r="M252" s="266">
        <v>2</v>
      </c>
      <c r="N252" s="267">
        <v>2576.4</v>
      </c>
      <c r="O252" s="268">
        <v>45658</v>
      </c>
      <c r="P252" s="262"/>
      <c r="Q252" s="262"/>
    </row>
    <row r="253" spans="1:17" ht="14.1" customHeight="1">
      <c r="A253" s="261" t="s">
        <v>911</v>
      </c>
      <c r="B253" s="262"/>
      <c r="C253" s="263" t="s">
        <v>905</v>
      </c>
      <c r="D253" s="263" t="s">
        <v>906</v>
      </c>
      <c r="E253" s="264">
        <v>0</v>
      </c>
      <c r="F253" s="269">
        <v>201</v>
      </c>
      <c r="G253" s="261" t="s">
        <v>612</v>
      </c>
      <c r="H253" s="262"/>
      <c r="I253" s="262"/>
      <c r="J253" s="265">
        <v>2051</v>
      </c>
      <c r="K253" s="275">
        <v>36.087000000000003</v>
      </c>
      <c r="L253" s="266">
        <v>3</v>
      </c>
      <c r="M253" s="266">
        <v>3</v>
      </c>
      <c r="N253" s="267">
        <v>3864.6</v>
      </c>
      <c r="O253" s="268">
        <v>45658</v>
      </c>
      <c r="P253" s="262"/>
      <c r="Q253" s="262"/>
    </row>
    <row r="254" spans="1:17" ht="14.1" customHeight="1">
      <c r="A254" s="261" t="s">
        <v>912</v>
      </c>
      <c r="B254" s="262"/>
      <c r="C254" s="263" t="s">
        <v>905</v>
      </c>
      <c r="D254" s="263" t="s">
        <v>906</v>
      </c>
      <c r="E254" s="264">
        <v>0</v>
      </c>
      <c r="F254" s="269">
        <v>201</v>
      </c>
      <c r="G254" s="261" t="s">
        <v>612</v>
      </c>
      <c r="H254" s="262"/>
      <c r="I254" s="262"/>
      <c r="J254" s="265">
        <v>2051</v>
      </c>
      <c r="K254" s="275">
        <v>36.087000000000003</v>
      </c>
      <c r="L254" s="266">
        <v>8</v>
      </c>
      <c r="M254" s="266">
        <v>8</v>
      </c>
      <c r="N254" s="267">
        <v>10305.6</v>
      </c>
      <c r="O254" s="268">
        <v>45658</v>
      </c>
      <c r="P254" s="262"/>
      <c r="Q254" s="262"/>
    </row>
    <row r="255" spans="1:17" ht="14.1" customHeight="1">
      <c r="A255" s="261" t="s">
        <v>913</v>
      </c>
      <c r="B255" s="262"/>
      <c r="C255" s="263" t="s">
        <v>905</v>
      </c>
      <c r="D255" s="263" t="s">
        <v>906</v>
      </c>
      <c r="E255" s="264">
        <v>0</v>
      </c>
      <c r="F255" s="269">
        <v>201</v>
      </c>
      <c r="G255" s="261" t="s">
        <v>612</v>
      </c>
      <c r="H255" s="262"/>
      <c r="I255" s="262"/>
      <c r="J255" s="265">
        <v>2051</v>
      </c>
      <c r="K255" s="275">
        <v>36.087000000000003</v>
      </c>
      <c r="L255" s="266">
        <v>6</v>
      </c>
      <c r="M255" s="266">
        <v>6</v>
      </c>
      <c r="N255" s="267">
        <v>7729.2</v>
      </c>
      <c r="O255" s="268">
        <v>45658</v>
      </c>
      <c r="P255" s="262"/>
      <c r="Q255" s="262"/>
    </row>
    <row r="256" spans="1:17" ht="14.1" customHeight="1">
      <c r="A256" s="261" t="s">
        <v>914</v>
      </c>
      <c r="B256" s="262"/>
      <c r="C256" s="263" t="s">
        <v>905</v>
      </c>
      <c r="D256" s="263" t="s">
        <v>906</v>
      </c>
      <c r="E256" s="264">
        <v>0</v>
      </c>
      <c r="F256" s="269">
        <v>201</v>
      </c>
      <c r="G256" s="261" t="s">
        <v>612</v>
      </c>
      <c r="H256" s="262"/>
      <c r="I256" s="262"/>
      <c r="J256" s="265">
        <v>2051</v>
      </c>
      <c r="K256" s="275">
        <v>36.087000000000003</v>
      </c>
      <c r="L256" s="266">
        <v>4</v>
      </c>
      <c r="M256" s="266">
        <v>4</v>
      </c>
      <c r="N256" s="267">
        <v>5152.8</v>
      </c>
      <c r="O256" s="268">
        <v>45658</v>
      </c>
      <c r="P256" s="262"/>
      <c r="Q256" s="262"/>
    </row>
    <row r="257" spans="1:17" ht="14.1" customHeight="1">
      <c r="A257" s="261" t="s">
        <v>915</v>
      </c>
      <c r="B257" s="262"/>
      <c r="C257" s="263" t="s">
        <v>905</v>
      </c>
      <c r="D257" s="263" t="s">
        <v>906</v>
      </c>
      <c r="E257" s="264">
        <v>0</v>
      </c>
      <c r="F257" s="269">
        <v>201</v>
      </c>
      <c r="G257" s="261" t="s">
        <v>612</v>
      </c>
      <c r="H257" s="262"/>
      <c r="I257" s="262"/>
      <c r="J257" s="265">
        <v>2051</v>
      </c>
      <c r="K257" s="275">
        <v>36.087000000000003</v>
      </c>
      <c r="L257" s="266">
        <v>4</v>
      </c>
      <c r="M257" s="266">
        <v>4</v>
      </c>
      <c r="N257" s="267">
        <v>5152.8</v>
      </c>
      <c r="O257" s="268">
        <v>45658</v>
      </c>
      <c r="P257" s="262"/>
      <c r="Q257" s="262"/>
    </row>
    <row r="258" spans="1:17" ht="14.1" customHeight="1">
      <c r="A258" s="261" t="s">
        <v>916</v>
      </c>
      <c r="B258" s="262"/>
      <c r="C258" s="263" t="s">
        <v>905</v>
      </c>
      <c r="D258" s="263" t="s">
        <v>906</v>
      </c>
      <c r="E258" s="264">
        <v>0</v>
      </c>
      <c r="F258" s="269">
        <v>201</v>
      </c>
      <c r="G258" s="261" t="s">
        <v>612</v>
      </c>
      <c r="H258" s="262"/>
      <c r="I258" s="262"/>
      <c r="J258" s="265">
        <v>2051</v>
      </c>
      <c r="K258" s="275">
        <v>36.087000000000003</v>
      </c>
      <c r="L258" s="266">
        <v>1.5</v>
      </c>
      <c r="M258" s="266">
        <v>1.5</v>
      </c>
      <c r="N258" s="267">
        <v>2137.5</v>
      </c>
      <c r="O258" s="268">
        <v>45658</v>
      </c>
      <c r="P258" s="262"/>
      <c r="Q258" s="262"/>
    </row>
    <row r="259" spans="1:17" ht="14.1" customHeight="1">
      <c r="A259" s="261" t="s">
        <v>917</v>
      </c>
      <c r="B259" s="262"/>
      <c r="C259" s="263" t="s">
        <v>905</v>
      </c>
      <c r="D259" s="263" t="s">
        <v>906</v>
      </c>
      <c r="E259" s="264">
        <v>0</v>
      </c>
      <c r="F259" s="269">
        <v>201</v>
      </c>
      <c r="G259" s="261" t="s">
        <v>612</v>
      </c>
      <c r="H259" s="262"/>
      <c r="I259" s="262"/>
      <c r="J259" s="265">
        <v>2051</v>
      </c>
      <c r="K259" s="275">
        <v>36.087000000000003</v>
      </c>
      <c r="L259" s="266">
        <v>2</v>
      </c>
      <c r="M259" s="266">
        <v>2</v>
      </c>
      <c r="N259" s="267">
        <v>4332</v>
      </c>
      <c r="O259" s="268">
        <v>45658</v>
      </c>
      <c r="P259" s="262"/>
      <c r="Q259" s="262"/>
    </row>
    <row r="260" spans="1:17" ht="14.1" customHeight="1">
      <c r="A260" s="261" t="s">
        <v>918</v>
      </c>
      <c r="B260" s="262"/>
      <c r="C260" s="263" t="s">
        <v>919</v>
      </c>
      <c r="D260" s="263" t="s">
        <v>920</v>
      </c>
      <c r="E260" s="264">
        <v>0</v>
      </c>
      <c r="F260" s="264">
        <v>2501</v>
      </c>
      <c r="G260" s="261" t="s">
        <v>612</v>
      </c>
      <c r="H260" s="262"/>
      <c r="I260" s="262"/>
      <c r="J260" s="265">
        <v>2154114</v>
      </c>
      <c r="K260" s="275">
        <v>18.643000000000001</v>
      </c>
      <c r="L260" s="266">
        <v>1</v>
      </c>
      <c r="M260" s="266">
        <v>1</v>
      </c>
      <c r="N260" s="267">
        <v>3480</v>
      </c>
      <c r="O260" s="268">
        <v>45658</v>
      </c>
      <c r="P260" s="262"/>
      <c r="Q260" s="262"/>
    </row>
    <row r="261" spans="1:17" ht="14.1" customHeight="1">
      <c r="A261" s="263" t="s">
        <v>921</v>
      </c>
      <c r="B261" s="262"/>
      <c r="C261" s="263" t="s">
        <v>919</v>
      </c>
      <c r="D261" s="263" t="s">
        <v>920</v>
      </c>
      <c r="E261" s="264">
        <v>0</v>
      </c>
      <c r="F261" s="264">
        <v>2501</v>
      </c>
      <c r="G261" s="261" t="s">
        <v>612</v>
      </c>
      <c r="H261" s="262"/>
      <c r="I261" s="262"/>
      <c r="J261" s="265">
        <v>2154114</v>
      </c>
      <c r="K261" s="272">
        <v>18.643000000000001</v>
      </c>
      <c r="L261" s="266">
        <v>1</v>
      </c>
      <c r="M261" s="266">
        <v>1</v>
      </c>
      <c r="N261" s="267">
        <v>6000</v>
      </c>
      <c r="O261" s="268">
        <v>45658</v>
      </c>
      <c r="P261" s="262"/>
      <c r="Q261" s="262"/>
    </row>
    <row r="262" spans="1:17" ht="14.1" customHeight="1">
      <c r="A262" s="263" t="s">
        <v>922</v>
      </c>
      <c r="B262" s="262"/>
      <c r="C262" s="263" t="s">
        <v>919</v>
      </c>
      <c r="D262" s="263" t="s">
        <v>920</v>
      </c>
      <c r="E262" s="264">
        <v>0</v>
      </c>
      <c r="F262" s="264">
        <v>2501</v>
      </c>
      <c r="G262" s="261" t="s">
        <v>612</v>
      </c>
      <c r="H262" s="262"/>
      <c r="I262" s="262"/>
      <c r="J262" s="265">
        <v>2154114</v>
      </c>
      <c r="K262" s="272">
        <v>18.643000000000001</v>
      </c>
      <c r="L262" s="266">
        <v>1</v>
      </c>
      <c r="M262" s="266">
        <v>1</v>
      </c>
      <c r="N262" s="267">
        <v>1200</v>
      </c>
      <c r="O262" s="268">
        <v>45658</v>
      </c>
      <c r="P262" s="262"/>
      <c r="Q262" s="262"/>
    </row>
    <row r="263" spans="1:17" ht="14.1" customHeight="1">
      <c r="A263" s="263" t="s">
        <v>923</v>
      </c>
      <c r="B263" s="262"/>
      <c r="C263" s="263" t="s">
        <v>919</v>
      </c>
      <c r="D263" s="263" t="s">
        <v>920</v>
      </c>
      <c r="E263" s="264">
        <v>0</v>
      </c>
      <c r="F263" s="264">
        <v>2501</v>
      </c>
      <c r="G263" s="261" t="s">
        <v>612</v>
      </c>
      <c r="H263" s="262"/>
      <c r="I263" s="262"/>
      <c r="J263" s="265">
        <v>2154114</v>
      </c>
      <c r="K263" s="272">
        <v>18.643000000000001</v>
      </c>
      <c r="L263" s="266">
        <v>1</v>
      </c>
      <c r="M263" s="266">
        <v>1</v>
      </c>
      <c r="N263" s="267">
        <v>1200</v>
      </c>
      <c r="O263" s="268">
        <v>45658</v>
      </c>
      <c r="P263" s="262"/>
      <c r="Q263" s="262"/>
    </row>
    <row r="264" spans="1:17" ht="14.1" customHeight="1">
      <c r="A264" s="263" t="s">
        <v>924</v>
      </c>
      <c r="B264" s="262"/>
      <c r="C264" s="263" t="s">
        <v>749</v>
      </c>
      <c r="D264" s="264">
        <v>250000</v>
      </c>
      <c r="E264" s="264">
        <v>0</v>
      </c>
      <c r="F264" s="264">
        <v>2501</v>
      </c>
      <c r="G264" s="261" t="s">
        <v>612</v>
      </c>
      <c r="H264" s="262"/>
      <c r="I264" s="262"/>
      <c r="J264" s="265">
        <v>2051</v>
      </c>
      <c r="K264" s="272">
        <v>36.088000000000001</v>
      </c>
      <c r="L264" s="266">
        <v>1</v>
      </c>
      <c r="M264" s="266">
        <v>1</v>
      </c>
      <c r="N264" s="267">
        <v>9441.36</v>
      </c>
      <c r="O264" s="268">
        <v>45658</v>
      </c>
      <c r="P264" s="262"/>
      <c r="Q264" s="262"/>
    </row>
    <row r="265" spans="1:17" ht="14.1" customHeight="1">
      <c r="A265" s="263" t="s">
        <v>925</v>
      </c>
      <c r="B265" s="262"/>
      <c r="C265" s="263" t="s">
        <v>749</v>
      </c>
      <c r="D265" s="264">
        <v>250000</v>
      </c>
      <c r="E265" s="264">
        <v>0</v>
      </c>
      <c r="F265" s="264">
        <v>2501</v>
      </c>
      <c r="G265" s="261" t="s">
        <v>612</v>
      </c>
      <c r="H265" s="262"/>
      <c r="I265" s="262"/>
      <c r="J265" s="265">
        <v>2051</v>
      </c>
      <c r="K265" s="272">
        <v>36.088000000000001</v>
      </c>
      <c r="L265" s="266">
        <v>1</v>
      </c>
      <c r="M265" s="266">
        <v>1</v>
      </c>
      <c r="N265" s="267">
        <v>4425.84</v>
      </c>
      <c r="O265" s="268">
        <v>45658</v>
      </c>
      <c r="P265" s="262"/>
      <c r="Q265" s="262"/>
    </row>
    <row r="266" spans="1:17" ht="14.1" customHeight="1">
      <c r="A266" s="263" t="s">
        <v>926</v>
      </c>
      <c r="B266" s="262"/>
      <c r="C266" s="263" t="s">
        <v>749</v>
      </c>
      <c r="D266" s="264">
        <v>250000</v>
      </c>
      <c r="E266" s="264">
        <v>0</v>
      </c>
      <c r="F266" s="264">
        <v>2501</v>
      </c>
      <c r="G266" s="261" t="s">
        <v>612</v>
      </c>
      <c r="H266" s="262"/>
      <c r="I266" s="262"/>
      <c r="J266" s="265">
        <v>2051</v>
      </c>
      <c r="K266" s="272">
        <v>36.088000000000001</v>
      </c>
      <c r="L266" s="266">
        <v>2</v>
      </c>
      <c r="M266" s="266">
        <v>2</v>
      </c>
      <c r="N266" s="271">
        <v>708</v>
      </c>
      <c r="O266" s="268">
        <v>45658</v>
      </c>
      <c r="P266" s="262"/>
      <c r="Q266" s="262"/>
    </row>
    <row r="267" spans="1:17" ht="14.1" customHeight="1">
      <c r="A267" s="263" t="s">
        <v>927</v>
      </c>
      <c r="B267" s="262"/>
      <c r="C267" s="263" t="s">
        <v>749</v>
      </c>
      <c r="D267" s="264">
        <v>250000</v>
      </c>
      <c r="E267" s="264">
        <v>0</v>
      </c>
      <c r="F267" s="264">
        <v>2501</v>
      </c>
      <c r="G267" s="261" t="s">
        <v>612</v>
      </c>
      <c r="H267" s="262"/>
      <c r="I267" s="262"/>
      <c r="J267" s="265">
        <v>2051</v>
      </c>
      <c r="K267" s="272">
        <v>36.088000000000001</v>
      </c>
      <c r="L267" s="266">
        <v>3</v>
      </c>
      <c r="M267" s="266">
        <v>3</v>
      </c>
      <c r="N267" s="267">
        <v>4539.6000000000004</v>
      </c>
      <c r="O267" s="268">
        <v>45658</v>
      </c>
      <c r="P267" s="262"/>
      <c r="Q267" s="262"/>
    </row>
    <row r="268" spans="1:17" ht="14.1" customHeight="1">
      <c r="A268" s="263" t="s">
        <v>928</v>
      </c>
      <c r="B268" s="262"/>
      <c r="C268" s="263" t="s">
        <v>749</v>
      </c>
      <c r="D268" s="264">
        <v>250000</v>
      </c>
      <c r="E268" s="264">
        <v>0</v>
      </c>
      <c r="F268" s="264">
        <v>2501</v>
      </c>
      <c r="G268" s="261" t="s">
        <v>612</v>
      </c>
      <c r="H268" s="262"/>
      <c r="I268" s="262"/>
      <c r="J268" s="265">
        <v>2051</v>
      </c>
      <c r="K268" s="272">
        <v>36.088000000000001</v>
      </c>
      <c r="L268" s="266">
        <v>6</v>
      </c>
      <c r="M268" s="266">
        <v>6</v>
      </c>
      <c r="N268" s="267">
        <v>9079.2000000000007</v>
      </c>
      <c r="O268" s="268">
        <v>45658</v>
      </c>
      <c r="P268" s="262"/>
      <c r="Q268" s="262"/>
    </row>
    <row r="269" spans="1:17" ht="14.1" customHeight="1">
      <c r="A269" s="263" t="s">
        <v>929</v>
      </c>
      <c r="B269" s="262"/>
      <c r="C269" s="263" t="s">
        <v>749</v>
      </c>
      <c r="D269" s="264">
        <v>250000</v>
      </c>
      <c r="E269" s="264">
        <v>0</v>
      </c>
      <c r="F269" s="264">
        <v>2501</v>
      </c>
      <c r="G269" s="261" t="s">
        <v>612</v>
      </c>
      <c r="H269" s="262"/>
      <c r="I269" s="262"/>
      <c r="J269" s="265">
        <v>2051</v>
      </c>
      <c r="K269" s="272">
        <v>36.088000000000001</v>
      </c>
      <c r="L269" s="266">
        <v>2</v>
      </c>
      <c r="M269" s="266">
        <v>2</v>
      </c>
      <c r="N269" s="267">
        <v>3026.4</v>
      </c>
      <c r="O269" s="268">
        <v>45658</v>
      </c>
      <c r="P269" s="262"/>
      <c r="Q269" s="262"/>
    </row>
    <row r="270" spans="1:17" ht="14.1" customHeight="1">
      <c r="A270" s="263" t="s">
        <v>930</v>
      </c>
      <c r="B270" s="262"/>
      <c r="C270" s="263" t="s">
        <v>749</v>
      </c>
      <c r="D270" s="264">
        <v>250000</v>
      </c>
      <c r="E270" s="264">
        <v>0</v>
      </c>
      <c r="F270" s="264">
        <v>2501</v>
      </c>
      <c r="G270" s="261" t="s">
        <v>612</v>
      </c>
      <c r="H270" s="262"/>
      <c r="I270" s="262"/>
      <c r="J270" s="265">
        <v>2051</v>
      </c>
      <c r="K270" s="272">
        <v>36.088000000000001</v>
      </c>
      <c r="L270" s="266">
        <v>1</v>
      </c>
      <c r="M270" s="266">
        <v>1</v>
      </c>
      <c r="N270" s="267">
        <v>1513.2</v>
      </c>
      <c r="O270" s="268">
        <v>45658</v>
      </c>
      <c r="P270" s="262"/>
      <c r="Q270" s="262"/>
    </row>
    <row r="271" spans="1:17" ht="14.1" customHeight="1">
      <c r="A271" s="263" t="s">
        <v>931</v>
      </c>
      <c r="B271" s="262"/>
      <c r="C271" s="263" t="s">
        <v>749</v>
      </c>
      <c r="D271" s="264">
        <v>250000</v>
      </c>
      <c r="E271" s="264">
        <v>0</v>
      </c>
      <c r="F271" s="264">
        <v>2501</v>
      </c>
      <c r="G271" s="261" t="s">
        <v>612</v>
      </c>
      <c r="H271" s="262"/>
      <c r="I271" s="262"/>
      <c r="J271" s="265">
        <v>2051</v>
      </c>
      <c r="K271" s="272">
        <v>36.088000000000001</v>
      </c>
      <c r="L271" s="266">
        <v>1</v>
      </c>
      <c r="M271" s="266">
        <v>1</v>
      </c>
      <c r="N271" s="267">
        <v>1513.2</v>
      </c>
      <c r="O271" s="268">
        <v>45658</v>
      </c>
      <c r="P271" s="262"/>
      <c r="Q271" s="262"/>
    </row>
    <row r="272" spans="1:17" ht="14.1" customHeight="1">
      <c r="A272" s="263" t="s">
        <v>932</v>
      </c>
      <c r="B272" s="262"/>
      <c r="C272" s="263" t="s">
        <v>749</v>
      </c>
      <c r="D272" s="264">
        <v>250000</v>
      </c>
      <c r="E272" s="264">
        <v>0</v>
      </c>
      <c r="F272" s="264">
        <v>2501</v>
      </c>
      <c r="G272" s="261" t="s">
        <v>612</v>
      </c>
      <c r="H272" s="262"/>
      <c r="I272" s="262"/>
      <c r="J272" s="265">
        <v>2051</v>
      </c>
      <c r="K272" s="272">
        <v>36.088000000000001</v>
      </c>
      <c r="L272" s="266">
        <v>4</v>
      </c>
      <c r="M272" s="266">
        <v>4</v>
      </c>
      <c r="N272" s="267">
        <v>6052.8</v>
      </c>
      <c r="O272" s="268">
        <v>45658</v>
      </c>
      <c r="P272" s="262"/>
      <c r="Q272" s="262"/>
    </row>
    <row r="273" spans="1:17" ht="14.1" customHeight="1">
      <c r="A273" s="263" t="s">
        <v>933</v>
      </c>
      <c r="B273" s="262"/>
      <c r="C273" s="263" t="s">
        <v>749</v>
      </c>
      <c r="D273" s="264">
        <v>250000</v>
      </c>
      <c r="E273" s="264">
        <v>0</v>
      </c>
      <c r="F273" s="264">
        <v>2501</v>
      </c>
      <c r="G273" s="261" t="s">
        <v>612</v>
      </c>
      <c r="H273" s="262"/>
      <c r="I273" s="262"/>
      <c r="J273" s="265">
        <v>2051</v>
      </c>
      <c r="K273" s="272">
        <v>36.088000000000001</v>
      </c>
      <c r="L273" s="266">
        <v>2</v>
      </c>
      <c r="M273" s="266">
        <v>2</v>
      </c>
      <c r="N273" s="267">
        <v>3026.4</v>
      </c>
      <c r="O273" s="268">
        <v>45658</v>
      </c>
      <c r="P273" s="262"/>
      <c r="Q273" s="262"/>
    </row>
    <row r="274" spans="1:17" ht="14.1" customHeight="1">
      <c r="A274" s="263" t="s">
        <v>934</v>
      </c>
      <c r="B274" s="262"/>
      <c r="C274" s="263" t="s">
        <v>749</v>
      </c>
      <c r="D274" s="264">
        <v>250000</v>
      </c>
      <c r="E274" s="264">
        <v>0</v>
      </c>
      <c r="F274" s="264">
        <v>2501</v>
      </c>
      <c r="G274" s="261" t="s">
        <v>612</v>
      </c>
      <c r="H274" s="262"/>
      <c r="I274" s="262"/>
      <c r="J274" s="265">
        <v>2051</v>
      </c>
      <c r="K274" s="272">
        <v>36.088000000000001</v>
      </c>
      <c r="L274" s="266">
        <v>4</v>
      </c>
      <c r="M274" s="266">
        <v>4</v>
      </c>
      <c r="N274" s="267">
        <v>6052.8</v>
      </c>
      <c r="O274" s="268">
        <v>45658</v>
      </c>
      <c r="P274" s="262"/>
      <c r="Q274" s="262"/>
    </row>
    <row r="275" spans="1:17" ht="14.1" customHeight="1">
      <c r="A275" s="263" t="s">
        <v>935</v>
      </c>
      <c r="B275" s="262"/>
      <c r="C275" s="263" t="s">
        <v>749</v>
      </c>
      <c r="D275" s="264">
        <v>250000</v>
      </c>
      <c r="E275" s="264">
        <v>0</v>
      </c>
      <c r="F275" s="264">
        <v>2501</v>
      </c>
      <c r="G275" s="261" t="s">
        <v>612</v>
      </c>
      <c r="H275" s="262"/>
      <c r="I275" s="262"/>
      <c r="J275" s="265">
        <v>2051</v>
      </c>
      <c r="K275" s="272">
        <v>36.088000000000001</v>
      </c>
      <c r="L275" s="266">
        <v>2</v>
      </c>
      <c r="M275" s="266">
        <v>2</v>
      </c>
      <c r="N275" s="267">
        <v>3026.4</v>
      </c>
      <c r="O275" s="268">
        <v>45658</v>
      </c>
      <c r="P275" s="262"/>
      <c r="Q275" s="262"/>
    </row>
    <row r="276" spans="1:17" ht="14.1" customHeight="1">
      <c r="A276" s="263" t="s">
        <v>936</v>
      </c>
      <c r="B276" s="262"/>
      <c r="C276" s="263" t="s">
        <v>749</v>
      </c>
      <c r="D276" s="264">
        <v>250000</v>
      </c>
      <c r="E276" s="264">
        <v>0</v>
      </c>
      <c r="F276" s="264">
        <v>2501</v>
      </c>
      <c r="G276" s="261" t="s">
        <v>612</v>
      </c>
      <c r="H276" s="262"/>
      <c r="I276" s="262"/>
      <c r="J276" s="265">
        <v>2051</v>
      </c>
      <c r="K276" s="272">
        <v>36.088000000000001</v>
      </c>
      <c r="L276" s="266">
        <v>1</v>
      </c>
      <c r="M276" s="266">
        <v>1</v>
      </c>
      <c r="N276" s="267">
        <v>1513.2</v>
      </c>
      <c r="O276" s="268">
        <v>45658</v>
      </c>
      <c r="P276" s="262"/>
      <c r="Q276" s="262"/>
    </row>
    <row r="277" spans="1:17" ht="14.1" customHeight="1">
      <c r="A277" s="263" t="s">
        <v>937</v>
      </c>
      <c r="B277" s="262"/>
      <c r="C277" s="263" t="s">
        <v>749</v>
      </c>
      <c r="D277" s="264">
        <v>250000</v>
      </c>
      <c r="E277" s="264">
        <v>0</v>
      </c>
      <c r="F277" s="264">
        <v>2501</v>
      </c>
      <c r="G277" s="261" t="s">
        <v>612</v>
      </c>
      <c r="H277" s="262"/>
      <c r="I277" s="262"/>
      <c r="J277" s="265">
        <v>2051</v>
      </c>
      <c r="K277" s="272">
        <v>36.088000000000001</v>
      </c>
      <c r="L277" s="266">
        <v>4</v>
      </c>
      <c r="M277" s="266">
        <v>4</v>
      </c>
      <c r="N277" s="267">
        <v>6052.8</v>
      </c>
      <c r="O277" s="268">
        <v>45658</v>
      </c>
      <c r="P277" s="262"/>
      <c r="Q277" s="262"/>
    </row>
    <row r="278" spans="1:17" ht="14.1" customHeight="1">
      <c r="A278" s="263" t="s">
        <v>938</v>
      </c>
      <c r="B278" s="262"/>
      <c r="C278" s="263" t="s">
        <v>749</v>
      </c>
      <c r="D278" s="264">
        <v>250000</v>
      </c>
      <c r="E278" s="264">
        <v>0</v>
      </c>
      <c r="F278" s="264">
        <v>2501</v>
      </c>
      <c r="G278" s="261" t="s">
        <v>612</v>
      </c>
      <c r="H278" s="262"/>
      <c r="I278" s="262"/>
      <c r="J278" s="265">
        <v>2051</v>
      </c>
      <c r="K278" s="272">
        <v>36.088000000000001</v>
      </c>
      <c r="L278" s="266">
        <v>4</v>
      </c>
      <c r="M278" s="266">
        <v>4</v>
      </c>
      <c r="N278" s="267">
        <v>7593.6</v>
      </c>
      <c r="O278" s="268">
        <v>45658</v>
      </c>
      <c r="P278" s="262"/>
      <c r="Q278" s="262"/>
    </row>
    <row r="279" spans="1:17" ht="14.1" customHeight="1">
      <c r="A279" s="263" t="s">
        <v>939</v>
      </c>
      <c r="B279" s="262"/>
      <c r="C279" s="263" t="s">
        <v>749</v>
      </c>
      <c r="D279" s="264">
        <v>250000</v>
      </c>
      <c r="E279" s="264">
        <v>0</v>
      </c>
      <c r="F279" s="264">
        <v>2501</v>
      </c>
      <c r="G279" s="261" t="s">
        <v>612</v>
      </c>
      <c r="H279" s="262"/>
      <c r="I279" s="262"/>
      <c r="J279" s="265">
        <v>2051</v>
      </c>
      <c r="K279" s="272">
        <v>36.088000000000001</v>
      </c>
      <c r="L279" s="266">
        <v>4</v>
      </c>
      <c r="M279" s="266">
        <v>4</v>
      </c>
      <c r="N279" s="267">
        <v>7593.6</v>
      </c>
      <c r="O279" s="268">
        <v>45658</v>
      </c>
      <c r="P279" s="262"/>
      <c r="Q279" s="262"/>
    </row>
    <row r="280" spans="1:17" ht="14.1" customHeight="1">
      <c r="A280" s="263" t="s">
        <v>940</v>
      </c>
      <c r="B280" s="262"/>
      <c r="C280" s="263" t="s">
        <v>749</v>
      </c>
      <c r="D280" s="264">
        <v>250000</v>
      </c>
      <c r="E280" s="264">
        <v>0</v>
      </c>
      <c r="F280" s="264">
        <v>2501</v>
      </c>
      <c r="G280" s="261" t="s">
        <v>612</v>
      </c>
      <c r="H280" s="262"/>
      <c r="I280" s="262"/>
      <c r="J280" s="265">
        <v>2051</v>
      </c>
      <c r="K280" s="272">
        <v>36.088000000000001</v>
      </c>
      <c r="L280" s="266">
        <v>4</v>
      </c>
      <c r="M280" s="266">
        <v>4</v>
      </c>
      <c r="N280" s="267">
        <v>6052.8</v>
      </c>
      <c r="O280" s="268">
        <v>45658</v>
      </c>
      <c r="P280" s="262"/>
      <c r="Q280" s="262"/>
    </row>
    <row r="281" spans="1:17" ht="14.1" customHeight="1">
      <c r="A281" s="263" t="s">
        <v>941</v>
      </c>
      <c r="B281" s="262"/>
      <c r="C281" s="263" t="s">
        <v>749</v>
      </c>
      <c r="D281" s="264">
        <v>250000</v>
      </c>
      <c r="E281" s="264">
        <v>0</v>
      </c>
      <c r="F281" s="264">
        <v>2501</v>
      </c>
      <c r="G281" s="261" t="s">
        <v>872</v>
      </c>
      <c r="H281" s="262"/>
      <c r="I281" s="262"/>
      <c r="J281" s="265">
        <v>2051</v>
      </c>
      <c r="K281" s="264">
        <v>6707</v>
      </c>
      <c r="L281" s="266">
        <v>1</v>
      </c>
      <c r="M281" s="262"/>
      <c r="N281" s="262"/>
      <c r="O281" s="268">
        <v>45658</v>
      </c>
      <c r="P281" s="262"/>
      <c r="Q281" s="262"/>
    </row>
    <row r="282" spans="1:17" ht="14.1" customHeight="1">
      <c r="A282" s="276" t="s">
        <v>942</v>
      </c>
      <c r="B282" s="262"/>
      <c r="C282" s="263" t="s">
        <v>749</v>
      </c>
      <c r="D282" s="264">
        <v>250000</v>
      </c>
      <c r="E282" s="264">
        <v>0</v>
      </c>
      <c r="F282" s="264">
        <v>2501</v>
      </c>
      <c r="G282" s="261" t="s">
        <v>872</v>
      </c>
      <c r="H282" s="262"/>
      <c r="I282" s="262"/>
      <c r="J282" s="265">
        <v>2051</v>
      </c>
      <c r="K282" s="264">
        <v>6707</v>
      </c>
      <c r="L282" s="262"/>
      <c r="M282" s="266">
        <v>0</v>
      </c>
      <c r="N282" s="271">
        <v>0</v>
      </c>
      <c r="O282" s="268">
        <v>45658</v>
      </c>
      <c r="P282" s="262"/>
      <c r="Q282" s="262"/>
    </row>
    <row r="283" spans="1:17" ht="14.1" customHeight="1">
      <c r="A283" s="276" t="s">
        <v>943</v>
      </c>
      <c r="B283" s="262"/>
      <c r="C283" s="263" t="s">
        <v>749</v>
      </c>
      <c r="D283" s="264">
        <v>250000</v>
      </c>
      <c r="E283" s="264">
        <v>0</v>
      </c>
      <c r="F283" s="264">
        <v>2501</v>
      </c>
      <c r="G283" s="261" t="s">
        <v>872</v>
      </c>
      <c r="H283" s="262"/>
      <c r="I283" s="262"/>
      <c r="J283" s="265">
        <v>2051</v>
      </c>
      <c r="K283" s="264">
        <v>6707</v>
      </c>
      <c r="L283" s="262"/>
      <c r="M283" s="266">
        <v>1</v>
      </c>
      <c r="N283" s="267">
        <v>7118.58</v>
      </c>
      <c r="O283" s="268">
        <v>45658</v>
      </c>
      <c r="P283" s="268">
        <v>45735</v>
      </c>
      <c r="Q283" s="270">
        <v>650142</v>
      </c>
    </row>
    <row r="284" spans="1:17" ht="14.1" customHeight="1">
      <c r="A284" s="263" t="s">
        <v>944</v>
      </c>
      <c r="B284" s="262"/>
      <c r="C284" s="263" t="s">
        <v>749</v>
      </c>
      <c r="D284" s="264">
        <v>250000</v>
      </c>
      <c r="E284" s="264">
        <v>0</v>
      </c>
      <c r="F284" s="264">
        <v>2501</v>
      </c>
      <c r="G284" s="261" t="s">
        <v>872</v>
      </c>
      <c r="H284" s="262"/>
      <c r="I284" s="262"/>
      <c r="J284" s="265">
        <v>2051</v>
      </c>
      <c r="K284" s="264">
        <v>6707</v>
      </c>
      <c r="L284" s="266">
        <v>1</v>
      </c>
      <c r="M284" s="266">
        <v>0</v>
      </c>
      <c r="N284" s="271">
        <v>0</v>
      </c>
      <c r="O284" s="268">
        <v>45658</v>
      </c>
      <c r="P284" s="262"/>
      <c r="Q284" s="262"/>
    </row>
    <row r="285" spans="1:17" ht="14.1" customHeight="1">
      <c r="A285" s="263" t="s">
        <v>945</v>
      </c>
      <c r="B285" s="262"/>
      <c r="C285" s="263" t="s">
        <v>749</v>
      </c>
      <c r="D285" s="264">
        <v>250000</v>
      </c>
      <c r="E285" s="264">
        <v>0</v>
      </c>
      <c r="F285" s="264">
        <v>2501</v>
      </c>
      <c r="G285" s="261" t="s">
        <v>872</v>
      </c>
      <c r="H285" s="262"/>
      <c r="I285" s="262"/>
      <c r="J285" s="265">
        <v>2051</v>
      </c>
      <c r="K285" s="264">
        <v>6707</v>
      </c>
      <c r="L285" s="266">
        <v>1</v>
      </c>
      <c r="M285" s="266">
        <v>1</v>
      </c>
      <c r="N285" s="271">
        <v>312</v>
      </c>
      <c r="O285" s="268">
        <v>45658</v>
      </c>
      <c r="P285" s="268">
        <v>45735</v>
      </c>
      <c r="Q285" s="270">
        <v>650142</v>
      </c>
    </row>
    <row r="286" spans="1:17" ht="14.1" customHeight="1">
      <c r="A286" s="263" t="s">
        <v>946</v>
      </c>
      <c r="B286" s="262"/>
      <c r="C286" s="263" t="s">
        <v>749</v>
      </c>
      <c r="D286" s="264">
        <v>250000</v>
      </c>
      <c r="E286" s="264">
        <v>0</v>
      </c>
      <c r="F286" s="264">
        <v>2501</v>
      </c>
      <c r="G286" s="261" t="s">
        <v>872</v>
      </c>
      <c r="H286" s="262"/>
      <c r="I286" s="262"/>
      <c r="J286" s="265">
        <v>2051</v>
      </c>
      <c r="K286" s="264">
        <v>6707</v>
      </c>
      <c r="L286" s="266">
        <v>1</v>
      </c>
      <c r="M286" s="266">
        <v>0</v>
      </c>
      <c r="N286" s="271">
        <v>0</v>
      </c>
      <c r="O286" s="268">
        <v>45658</v>
      </c>
      <c r="P286" s="262"/>
      <c r="Q286" s="262"/>
    </row>
    <row r="287" spans="1:17" ht="14.1" customHeight="1">
      <c r="A287" s="263" t="s">
        <v>947</v>
      </c>
      <c r="B287" s="262"/>
      <c r="C287" s="263" t="s">
        <v>749</v>
      </c>
      <c r="D287" s="264">
        <v>250000</v>
      </c>
      <c r="E287" s="264">
        <v>0</v>
      </c>
      <c r="F287" s="264">
        <v>2501</v>
      </c>
      <c r="G287" s="261" t="s">
        <v>872</v>
      </c>
      <c r="H287" s="262"/>
      <c r="I287" s="262"/>
      <c r="J287" s="265">
        <v>2051</v>
      </c>
      <c r="K287" s="264">
        <v>6707</v>
      </c>
      <c r="L287" s="266">
        <v>1</v>
      </c>
      <c r="M287" s="266">
        <v>1</v>
      </c>
      <c r="N287" s="271">
        <v>42</v>
      </c>
      <c r="O287" s="268">
        <v>45658</v>
      </c>
      <c r="P287" s="268">
        <v>45735</v>
      </c>
      <c r="Q287" s="270">
        <v>650142</v>
      </c>
    </row>
    <row r="288" spans="1:17" ht="14.1" customHeight="1">
      <c r="A288" s="263" t="s">
        <v>948</v>
      </c>
      <c r="B288" s="262"/>
      <c r="C288" s="263" t="s">
        <v>749</v>
      </c>
      <c r="D288" s="264">
        <v>250000</v>
      </c>
      <c r="E288" s="264">
        <v>0</v>
      </c>
      <c r="F288" s="264">
        <v>2501</v>
      </c>
      <c r="G288" s="261" t="s">
        <v>872</v>
      </c>
      <c r="H288" s="262"/>
      <c r="I288" s="262"/>
      <c r="J288" s="265">
        <v>2051</v>
      </c>
      <c r="K288" s="264">
        <v>6707</v>
      </c>
      <c r="L288" s="266">
        <v>1</v>
      </c>
      <c r="M288" s="266">
        <v>0</v>
      </c>
      <c r="N288" s="271">
        <v>0</v>
      </c>
      <c r="O288" s="268">
        <v>45658</v>
      </c>
      <c r="P288" s="262"/>
      <c r="Q288" s="262"/>
    </row>
    <row r="289" spans="1:17" ht="14.1" customHeight="1">
      <c r="A289" s="263" t="s">
        <v>949</v>
      </c>
      <c r="B289" s="262"/>
      <c r="C289" s="263" t="s">
        <v>749</v>
      </c>
      <c r="D289" s="264">
        <v>250000</v>
      </c>
      <c r="E289" s="264">
        <v>0</v>
      </c>
      <c r="F289" s="264">
        <v>2501</v>
      </c>
      <c r="G289" s="261" t="s">
        <v>872</v>
      </c>
      <c r="H289" s="262"/>
      <c r="I289" s="262"/>
      <c r="J289" s="265">
        <v>2051</v>
      </c>
      <c r="K289" s="264">
        <v>6707</v>
      </c>
      <c r="L289" s="266">
        <v>1</v>
      </c>
      <c r="M289" s="266">
        <v>1</v>
      </c>
      <c r="N289" s="267">
        <v>3146.4</v>
      </c>
      <c r="O289" s="268">
        <v>45658</v>
      </c>
      <c r="P289" s="268">
        <v>45735</v>
      </c>
      <c r="Q289" s="270">
        <v>650142</v>
      </c>
    </row>
    <row r="290" spans="1:17" ht="14.1" customHeight="1">
      <c r="A290" s="261" t="s">
        <v>950</v>
      </c>
      <c r="B290" s="262"/>
      <c r="C290" s="263" t="s">
        <v>951</v>
      </c>
      <c r="D290" s="263" t="s">
        <v>952</v>
      </c>
      <c r="E290" s="264">
        <v>0</v>
      </c>
      <c r="F290" s="264">
        <v>5002</v>
      </c>
      <c r="G290" s="261" t="s">
        <v>612</v>
      </c>
      <c r="H290" s="262"/>
      <c r="I290" s="262"/>
      <c r="J290" s="265">
        <v>2051</v>
      </c>
      <c r="K290" s="270">
        <v>36087</v>
      </c>
      <c r="L290" s="266">
        <v>1</v>
      </c>
      <c r="M290" s="266">
        <v>1</v>
      </c>
      <c r="N290" s="267">
        <v>33721.22</v>
      </c>
      <c r="O290" s="268">
        <v>45658</v>
      </c>
      <c r="P290" s="262"/>
      <c r="Q290" s="262"/>
    </row>
    <row r="291" spans="1:17" ht="14.1" customHeight="1">
      <c r="A291" s="261" t="s">
        <v>953</v>
      </c>
      <c r="B291" s="262"/>
      <c r="C291" s="263" t="s">
        <v>807</v>
      </c>
      <c r="D291" s="263" t="s">
        <v>954</v>
      </c>
      <c r="E291" s="264">
        <v>0</v>
      </c>
      <c r="F291" s="264">
        <v>5002</v>
      </c>
      <c r="G291" s="261" t="s">
        <v>612</v>
      </c>
      <c r="H291" s="262"/>
      <c r="I291" s="262"/>
      <c r="J291" s="265">
        <v>218412</v>
      </c>
      <c r="K291" s="270">
        <v>2507</v>
      </c>
      <c r="L291" s="266">
        <v>5</v>
      </c>
      <c r="M291" s="266">
        <v>5</v>
      </c>
      <c r="N291" s="267">
        <v>2450.8200000000002</v>
      </c>
      <c r="O291" s="268">
        <v>45658</v>
      </c>
      <c r="P291" s="262"/>
      <c r="Q291" s="262"/>
    </row>
    <row r="292" spans="1:17" ht="14.1" customHeight="1">
      <c r="A292" s="261" t="s">
        <v>955</v>
      </c>
      <c r="B292" s="262"/>
      <c r="C292" s="263" t="s">
        <v>807</v>
      </c>
      <c r="D292" s="263" t="s">
        <v>954</v>
      </c>
      <c r="E292" s="264">
        <v>0</v>
      </c>
      <c r="F292" s="264">
        <v>3522</v>
      </c>
      <c r="G292" s="261" t="s">
        <v>612</v>
      </c>
      <c r="H292" s="262"/>
      <c r="I292" s="262"/>
      <c r="J292" s="265">
        <v>2154111</v>
      </c>
      <c r="K292" s="270">
        <v>18421</v>
      </c>
      <c r="L292" s="266">
        <v>6</v>
      </c>
      <c r="M292" s="266">
        <v>0.248</v>
      </c>
      <c r="N292" s="267">
        <v>3107.51</v>
      </c>
      <c r="O292" s="268">
        <v>45658</v>
      </c>
      <c r="P292" s="262"/>
      <c r="Q292" s="262"/>
    </row>
    <row r="293" spans="1:17" ht="14.1" customHeight="1">
      <c r="A293" s="261" t="s">
        <v>956</v>
      </c>
      <c r="B293" s="262"/>
      <c r="C293" s="263" t="s">
        <v>807</v>
      </c>
      <c r="D293" s="263" t="s">
        <v>954</v>
      </c>
      <c r="E293" s="264">
        <v>0</v>
      </c>
      <c r="F293" s="264">
        <v>9414</v>
      </c>
      <c r="G293" s="261" t="s">
        <v>957</v>
      </c>
      <c r="H293" s="262"/>
      <c r="I293" s="262"/>
      <c r="J293" s="265">
        <v>218411</v>
      </c>
      <c r="K293" s="261" t="s">
        <v>958</v>
      </c>
      <c r="L293" s="266">
        <v>1</v>
      </c>
      <c r="M293" s="266">
        <v>1</v>
      </c>
      <c r="N293" s="267">
        <v>2192.39</v>
      </c>
      <c r="O293" s="268">
        <v>45658</v>
      </c>
      <c r="P293" s="262"/>
      <c r="Q293" s="262"/>
    </row>
    <row r="294" spans="1:17" ht="14.1" customHeight="1">
      <c r="A294" s="261" t="s">
        <v>959</v>
      </c>
      <c r="B294" s="262"/>
      <c r="C294" s="263" t="s">
        <v>807</v>
      </c>
      <c r="D294" s="263" t="s">
        <v>954</v>
      </c>
      <c r="E294" s="264">
        <v>0</v>
      </c>
      <c r="F294" s="264">
        <v>9414</v>
      </c>
      <c r="G294" s="261" t="s">
        <v>957</v>
      </c>
      <c r="H294" s="262"/>
      <c r="I294" s="262"/>
      <c r="J294" s="265">
        <v>218413</v>
      </c>
      <c r="K294" s="261" t="s">
        <v>958</v>
      </c>
      <c r="L294" s="266">
        <v>1</v>
      </c>
      <c r="M294" s="266">
        <v>1</v>
      </c>
      <c r="N294" s="271">
        <v>234.58</v>
      </c>
      <c r="O294" s="268">
        <v>45658</v>
      </c>
      <c r="P294" s="262"/>
      <c r="Q294" s="262"/>
    </row>
    <row r="295" spans="1:17" ht="14.1" customHeight="1">
      <c r="A295" s="261" t="s">
        <v>960</v>
      </c>
      <c r="B295" s="262"/>
      <c r="C295" s="263" t="s">
        <v>807</v>
      </c>
      <c r="D295" s="263" t="s">
        <v>954</v>
      </c>
      <c r="E295" s="264">
        <v>0</v>
      </c>
      <c r="F295" s="264">
        <v>3520</v>
      </c>
      <c r="G295" s="261" t="s">
        <v>957</v>
      </c>
      <c r="H295" s="262"/>
      <c r="I295" s="262"/>
      <c r="J295" s="265">
        <v>218412</v>
      </c>
      <c r="K295" s="270">
        <v>2507</v>
      </c>
      <c r="L295" s="266">
        <v>5</v>
      </c>
      <c r="M295" s="266">
        <v>5</v>
      </c>
      <c r="N295" s="271">
        <v>912.89</v>
      </c>
      <c r="O295" s="268">
        <v>45658</v>
      </c>
      <c r="P295" s="262"/>
      <c r="Q295" s="262"/>
    </row>
    <row r="296" spans="1:17" ht="14.1" customHeight="1">
      <c r="A296" s="261" t="s">
        <v>961</v>
      </c>
      <c r="B296" s="262"/>
      <c r="C296" s="263" t="s">
        <v>962</v>
      </c>
      <c r="D296" s="263" t="s">
        <v>963</v>
      </c>
      <c r="E296" s="264">
        <v>0</v>
      </c>
      <c r="F296" s="264">
        <v>2311</v>
      </c>
      <c r="G296" s="261" t="s">
        <v>957</v>
      </c>
      <c r="H296" s="262"/>
      <c r="I296" s="262"/>
      <c r="J296" s="265">
        <v>2154111</v>
      </c>
      <c r="K296" s="270">
        <v>1837</v>
      </c>
      <c r="L296" s="266">
        <v>1</v>
      </c>
      <c r="M296" s="266">
        <v>1</v>
      </c>
      <c r="N296" s="267">
        <v>18173.95</v>
      </c>
      <c r="O296" s="268">
        <v>45658</v>
      </c>
      <c r="P296" s="262"/>
      <c r="Q296" s="262"/>
    </row>
    <row r="297" spans="1:17" ht="14.1" customHeight="1">
      <c r="A297" s="261" t="s">
        <v>964</v>
      </c>
      <c r="B297" s="262"/>
      <c r="C297" s="263" t="s">
        <v>962</v>
      </c>
      <c r="D297" s="263" t="s">
        <v>963</v>
      </c>
      <c r="E297" s="264">
        <v>0</v>
      </c>
      <c r="F297" s="264">
        <v>2311</v>
      </c>
      <c r="G297" s="261" t="s">
        <v>957</v>
      </c>
      <c r="H297" s="262"/>
      <c r="I297" s="262"/>
      <c r="J297" s="265">
        <v>2154112</v>
      </c>
      <c r="K297" s="270">
        <v>1837</v>
      </c>
      <c r="L297" s="266">
        <v>1</v>
      </c>
      <c r="M297" s="266">
        <v>1</v>
      </c>
      <c r="N297" s="267">
        <v>58695.13</v>
      </c>
      <c r="O297" s="268">
        <v>45658</v>
      </c>
      <c r="P297" s="262"/>
      <c r="Q297" s="262"/>
    </row>
    <row r="298" spans="1:17" ht="14.1" customHeight="1">
      <c r="A298" s="261" t="s">
        <v>965</v>
      </c>
      <c r="B298" s="262"/>
      <c r="C298" s="263" t="s">
        <v>962</v>
      </c>
      <c r="D298" s="263" t="s">
        <v>963</v>
      </c>
      <c r="E298" s="264">
        <v>0</v>
      </c>
      <c r="F298" s="264">
        <v>2311</v>
      </c>
      <c r="G298" s="261" t="s">
        <v>957</v>
      </c>
      <c r="H298" s="262"/>
      <c r="I298" s="262"/>
      <c r="J298" s="265">
        <v>2154112</v>
      </c>
      <c r="K298" s="270">
        <v>1837</v>
      </c>
      <c r="L298" s="266">
        <v>1</v>
      </c>
      <c r="M298" s="266">
        <v>1</v>
      </c>
      <c r="N298" s="271">
        <v>438.19</v>
      </c>
      <c r="O298" s="268">
        <v>45658</v>
      </c>
      <c r="P298" s="262"/>
      <c r="Q298" s="262"/>
    </row>
    <row r="299" spans="1:17" ht="14.1" customHeight="1">
      <c r="A299" s="261" t="s">
        <v>966</v>
      </c>
      <c r="B299" s="262"/>
      <c r="C299" s="263" t="s">
        <v>962</v>
      </c>
      <c r="D299" s="263" t="s">
        <v>963</v>
      </c>
      <c r="E299" s="264">
        <v>0</v>
      </c>
      <c r="F299" s="264">
        <v>2311</v>
      </c>
      <c r="G299" s="261" t="s">
        <v>957</v>
      </c>
      <c r="H299" s="262"/>
      <c r="I299" s="262"/>
      <c r="J299" s="265">
        <v>2154112</v>
      </c>
      <c r="K299" s="270">
        <v>1837</v>
      </c>
      <c r="L299" s="266">
        <v>1</v>
      </c>
      <c r="M299" s="266">
        <v>1</v>
      </c>
      <c r="N299" s="267">
        <v>2788.27</v>
      </c>
      <c r="O299" s="268">
        <v>45658</v>
      </c>
      <c r="P299" s="262"/>
      <c r="Q299" s="262"/>
    </row>
    <row r="300" spans="1:17" ht="14.1" customHeight="1">
      <c r="A300" s="261" t="s">
        <v>967</v>
      </c>
      <c r="B300" s="262"/>
      <c r="C300" s="263" t="s">
        <v>962</v>
      </c>
      <c r="D300" s="263" t="s">
        <v>963</v>
      </c>
      <c r="E300" s="264">
        <v>0</v>
      </c>
      <c r="F300" s="264">
        <v>2311</v>
      </c>
      <c r="G300" s="261" t="s">
        <v>957</v>
      </c>
      <c r="H300" s="262"/>
      <c r="I300" s="262"/>
      <c r="J300" s="265">
        <v>2154112</v>
      </c>
      <c r="K300" s="270">
        <v>1837</v>
      </c>
      <c r="L300" s="266">
        <v>1</v>
      </c>
      <c r="M300" s="266">
        <v>1</v>
      </c>
      <c r="N300" s="267">
        <v>4399.92</v>
      </c>
      <c r="O300" s="268">
        <v>45658</v>
      </c>
      <c r="P300" s="262"/>
      <c r="Q300" s="262"/>
    </row>
    <row r="301" spans="1:17" ht="14.1" customHeight="1">
      <c r="A301" s="261" t="s">
        <v>968</v>
      </c>
      <c r="B301" s="262"/>
      <c r="C301" s="263" t="s">
        <v>969</v>
      </c>
      <c r="D301" s="264">
        <v>250000</v>
      </c>
      <c r="E301" s="264">
        <v>0</v>
      </c>
      <c r="F301" s="264">
        <v>2201</v>
      </c>
      <c r="G301" s="261" t="s">
        <v>957</v>
      </c>
      <c r="H301" s="262"/>
      <c r="I301" s="262"/>
      <c r="J301" s="265">
        <v>2154113</v>
      </c>
      <c r="K301" s="270">
        <v>18701</v>
      </c>
      <c r="L301" s="266">
        <v>1</v>
      </c>
      <c r="M301" s="266">
        <v>1</v>
      </c>
      <c r="N301" s="271">
        <v>585.9</v>
      </c>
      <c r="O301" s="268">
        <v>45658</v>
      </c>
      <c r="P301" s="262"/>
      <c r="Q301" s="262"/>
    </row>
    <row r="302" spans="1:17" ht="14.1" customHeight="1">
      <c r="A302" s="261" t="s">
        <v>970</v>
      </c>
      <c r="B302" s="262"/>
      <c r="C302" s="263" t="s">
        <v>749</v>
      </c>
      <c r="D302" s="264">
        <v>250000</v>
      </c>
      <c r="E302" s="264">
        <v>0</v>
      </c>
      <c r="F302" s="269">
        <v>201</v>
      </c>
      <c r="G302" s="261" t="s">
        <v>872</v>
      </c>
      <c r="H302" s="262"/>
      <c r="I302" s="262"/>
      <c r="J302" s="265">
        <v>2051</v>
      </c>
      <c r="K302" s="270">
        <v>6707</v>
      </c>
      <c r="L302" s="266">
        <v>41</v>
      </c>
      <c r="M302" s="266">
        <v>41</v>
      </c>
      <c r="N302" s="271">
        <v>492</v>
      </c>
      <c r="O302" s="268">
        <v>45658</v>
      </c>
      <c r="P302" s="262"/>
      <c r="Q302" s="262"/>
    </row>
    <row r="303" spans="1:17" ht="14.1" customHeight="1">
      <c r="A303" s="261" t="s">
        <v>971</v>
      </c>
      <c r="B303" s="262"/>
      <c r="C303" s="263" t="s">
        <v>972</v>
      </c>
      <c r="D303" s="264">
        <v>250000</v>
      </c>
      <c r="E303" s="264">
        <v>0</v>
      </c>
      <c r="F303" s="264">
        <v>9713</v>
      </c>
      <c r="G303" s="261" t="s">
        <v>957</v>
      </c>
      <c r="H303" s="262"/>
      <c r="I303" s="262"/>
      <c r="J303" s="265">
        <v>21354</v>
      </c>
      <c r="K303" s="270">
        <v>3301</v>
      </c>
      <c r="L303" s="266">
        <v>1</v>
      </c>
      <c r="M303" s="266">
        <v>1</v>
      </c>
      <c r="N303" s="267">
        <v>17099.88</v>
      </c>
      <c r="O303" s="268">
        <v>45658</v>
      </c>
      <c r="P303" s="268">
        <v>45687</v>
      </c>
      <c r="Q303" s="270">
        <v>650007</v>
      </c>
    </row>
    <row r="304" spans="1:17" ht="14.1" customHeight="1">
      <c r="A304" s="261" t="s">
        <v>973</v>
      </c>
      <c r="B304" s="262"/>
      <c r="C304" s="263" t="s">
        <v>972</v>
      </c>
      <c r="D304" s="264">
        <v>250000</v>
      </c>
      <c r="E304" s="264">
        <v>0</v>
      </c>
      <c r="F304" s="264">
        <v>9713</v>
      </c>
      <c r="G304" s="261" t="s">
        <v>957</v>
      </c>
      <c r="H304" s="262"/>
      <c r="I304" s="262"/>
      <c r="J304" s="265">
        <v>21354</v>
      </c>
      <c r="K304" s="270">
        <v>3301</v>
      </c>
      <c r="L304" s="266">
        <v>13</v>
      </c>
      <c r="M304" s="266">
        <v>13</v>
      </c>
      <c r="N304" s="267">
        <v>8419.32</v>
      </c>
      <c r="O304" s="268">
        <v>45658</v>
      </c>
      <c r="P304" s="268">
        <v>45687</v>
      </c>
      <c r="Q304" s="270">
        <v>650007</v>
      </c>
    </row>
    <row r="305" spans="1:17" ht="14.1" customHeight="1">
      <c r="A305" s="261" t="s">
        <v>974</v>
      </c>
      <c r="B305" s="262"/>
      <c r="C305" s="263" t="s">
        <v>972</v>
      </c>
      <c r="D305" s="264">
        <v>250000</v>
      </c>
      <c r="E305" s="264">
        <v>0</v>
      </c>
      <c r="F305" s="264">
        <v>9713</v>
      </c>
      <c r="G305" s="261" t="s">
        <v>957</v>
      </c>
      <c r="H305" s="262"/>
      <c r="I305" s="262"/>
      <c r="J305" s="265">
        <v>21354</v>
      </c>
      <c r="K305" s="270">
        <v>3301</v>
      </c>
      <c r="L305" s="266">
        <v>6</v>
      </c>
      <c r="M305" s="266">
        <v>6</v>
      </c>
      <c r="N305" s="267">
        <v>1486.8</v>
      </c>
      <c r="O305" s="268">
        <v>45658</v>
      </c>
      <c r="P305" s="268">
        <v>45687</v>
      </c>
      <c r="Q305" s="270">
        <v>650007</v>
      </c>
    </row>
    <row r="306" spans="1:17" ht="14.1" customHeight="1">
      <c r="A306" s="261" t="s">
        <v>975</v>
      </c>
      <c r="B306" s="262"/>
      <c r="C306" s="263" t="s">
        <v>972</v>
      </c>
      <c r="D306" s="264">
        <v>250000</v>
      </c>
      <c r="E306" s="264">
        <v>0</v>
      </c>
      <c r="F306" s="264">
        <v>9713</v>
      </c>
      <c r="G306" s="261" t="s">
        <v>957</v>
      </c>
      <c r="H306" s="262"/>
      <c r="I306" s="262"/>
      <c r="J306" s="265">
        <v>21354</v>
      </c>
      <c r="K306" s="270">
        <v>3301</v>
      </c>
      <c r="L306" s="266">
        <v>1</v>
      </c>
      <c r="M306" s="266">
        <v>1</v>
      </c>
      <c r="N306" s="267">
        <v>16200</v>
      </c>
      <c r="O306" s="268">
        <v>45658</v>
      </c>
      <c r="P306" s="268">
        <v>45687</v>
      </c>
      <c r="Q306" s="270">
        <v>650007</v>
      </c>
    </row>
    <row r="307" spans="1:17" ht="14.1" customHeight="1">
      <c r="A307" s="261" t="s">
        <v>976</v>
      </c>
      <c r="B307" s="262"/>
      <c r="C307" s="263" t="s">
        <v>972</v>
      </c>
      <c r="D307" s="264">
        <v>250000</v>
      </c>
      <c r="E307" s="264">
        <v>0</v>
      </c>
      <c r="F307" s="264">
        <v>9713</v>
      </c>
      <c r="G307" s="261" t="s">
        <v>957</v>
      </c>
      <c r="H307" s="262"/>
      <c r="I307" s="262"/>
      <c r="J307" s="265">
        <v>21354</v>
      </c>
      <c r="K307" s="270">
        <v>3301</v>
      </c>
      <c r="L307" s="266">
        <v>1</v>
      </c>
      <c r="M307" s="266">
        <v>1</v>
      </c>
      <c r="N307" s="267">
        <v>10434</v>
      </c>
      <c r="O307" s="268">
        <v>45658</v>
      </c>
      <c r="P307" s="268">
        <v>45687</v>
      </c>
      <c r="Q307" s="270">
        <v>650007</v>
      </c>
    </row>
    <row r="308" spans="1:17" ht="14.1" customHeight="1">
      <c r="A308" s="261" t="s">
        <v>977</v>
      </c>
      <c r="B308" s="262"/>
      <c r="C308" s="263" t="s">
        <v>978</v>
      </c>
      <c r="D308" s="263" t="s">
        <v>979</v>
      </c>
      <c r="E308" s="264">
        <v>3</v>
      </c>
      <c r="F308" s="263" t="s">
        <v>980</v>
      </c>
      <c r="G308" s="261" t="s">
        <v>957</v>
      </c>
      <c r="H308" s="262"/>
      <c r="I308" s="262"/>
      <c r="J308" s="265">
        <v>218321</v>
      </c>
      <c r="K308" s="270">
        <v>3607</v>
      </c>
      <c r="L308" s="266">
        <v>1</v>
      </c>
      <c r="M308" s="266">
        <v>1</v>
      </c>
      <c r="N308" s="267">
        <v>1446.52</v>
      </c>
      <c r="O308" s="268">
        <v>45658</v>
      </c>
      <c r="P308" s="262"/>
      <c r="Q308" s="262"/>
    </row>
    <row r="309" spans="1:17" ht="14.1" customHeight="1">
      <c r="A309" s="261" t="s">
        <v>981</v>
      </c>
      <c r="B309" s="262"/>
      <c r="C309" s="263" t="s">
        <v>807</v>
      </c>
      <c r="D309" s="263" t="s">
        <v>954</v>
      </c>
      <c r="E309" s="264">
        <v>0</v>
      </c>
      <c r="F309" s="264">
        <v>8502</v>
      </c>
      <c r="G309" s="261" t="s">
        <v>957</v>
      </c>
      <c r="H309" s="262"/>
      <c r="I309" s="262"/>
      <c r="J309" s="265">
        <v>218412</v>
      </c>
      <c r="K309" s="270">
        <v>2507</v>
      </c>
      <c r="L309" s="266">
        <v>5</v>
      </c>
      <c r="M309" s="266">
        <v>5</v>
      </c>
      <c r="N309" s="271">
        <v>912.89</v>
      </c>
      <c r="O309" s="268">
        <v>45658</v>
      </c>
      <c r="P309" s="262"/>
      <c r="Q309" s="262"/>
    </row>
    <row r="310" spans="1:17" ht="14.1" customHeight="1">
      <c r="A310" s="261" t="s">
        <v>982</v>
      </c>
      <c r="B310" s="262"/>
      <c r="C310" s="263" t="s">
        <v>807</v>
      </c>
      <c r="D310" s="263" t="s">
        <v>954</v>
      </c>
      <c r="E310" s="264">
        <v>0</v>
      </c>
      <c r="F310" s="264">
        <v>8502</v>
      </c>
      <c r="G310" s="261" t="s">
        <v>957</v>
      </c>
      <c r="H310" s="262"/>
      <c r="I310" s="262"/>
      <c r="J310" s="265">
        <v>218412</v>
      </c>
      <c r="K310" s="270">
        <v>2507</v>
      </c>
      <c r="L310" s="266">
        <v>5</v>
      </c>
      <c r="M310" s="266">
        <v>5</v>
      </c>
      <c r="N310" s="267">
        <v>1004.53</v>
      </c>
      <c r="O310" s="268">
        <v>45658</v>
      </c>
      <c r="P310" s="262"/>
      <c r="Q310" s="262"/>
    </row>
    <row r="311" spans="1:17" ht="14.1" customHeight="1">
      <c r="A311" s="261" t="s">
        <v>983</v>
      </c>
      <c r="B311" s="262"/>
      <c r="C311" s="263" t="s">
        <v>984</v>
      </c>
      <c r="D311" s="263" t="s">
        <v>985</v>
      </c>
      <c r="E311" s="264">
        <v>3</v>
      </c>
      <c r="F311" s="264">
        <v>2201</v>
      </c>
      <c r="G311" s="261" t="s">
        <v>957</v>
      </c>
      <c r="H311" s="262"/>
      <c r="I311" s="262"/>
      <c r="J311" s="265">
        <v>213511</v>
      </c>
      <c r="K311" s="261" t="s">
        <v>986</v>
      </c>
      <c r="L311" s="266">
        <v>1</v>
      </c>
      <c r="M311" s="266">
        <v>1</v>
      </c>
      <c r="N311" s="267">
        <v>25443.46</v>
      </c>
      <c r="O311" s="268">
        <v>45658</v>
      </c>
      <c r="P311" s="262"/>
      <c r="Q311" s="262"/>
    </row>
    <row r="312" spans="1:17" ht="14.1" customHeight="1">
      <c r="A312" s="261" t="s">
        <v>987</v>
      </c>
      <c r="B312" s="262"/>
      <c r="C312" s="263" t="s">
        <v>807</v>
      </c>
      <c r="D312" s="263" t="s">
        <v>954</v>
      </c>
      <c r="E312" s="264">
        <v>0</v>
      </c>
      <c r="F312" s="264">
        <v>2601</v>
      </c>
      <c r="G312" s="261" t="s">
        <v>957</v>
      </c>
      <c r="H312" s="262"/>
      <c r="I312" s="262"/>
      <c r="J312" s="265">
        <v>2154111</v>
      </c>
      <c r="K312" s="261" t="s">
        <v>988</v>
      </c>
      <c r="L312" s="266">
        <v>1</v>
      </c>
      <c r="M312" s="266">
        <v>1</v>
      </c>
      <c r="N312" s="267">
        <v>10421.06</v>
      </c>
      <c r="O312" s="268">
        <v>45658</v>
      </c>
      <c r="P312" s="268">
        <v>45659</v>
      </c>
      <c r="Q312" s="262"/>
    </row>
    <row r="313" spans="1:17" ht="14.1" customHeight="1">
      <c r="A313" s="261" t="s">
        <v>989</v>
      </c>
      <c r="B313" s="262"/>
      <c r="C313" s="263" t="s">
        <v>990</v>
      </c>
      <c r="D313" s="264">
        <v>250000</v>
      </c>
      <c r="E313" s="264">
        <v>0</v>
      </c>
      <c r="F313" s="264">
        <v>2501</v>
      </c>
      <c r="G313" s="261" t="s">
        <v>872</v>
      </c>
      <c r="H313" s="262"/>
      <c r="I313" s="262"/>
      <c r="J313" s="265">
        <v>2051</v>
      </c>
      <c r="K313" s="275">
        <v>36.081000000000003</v>
      </c>
      <c r="L313" s="266">
        <v>3</v>
      </c>
      <c r="M313" s="266">
        <v>3</v>
      </c>
      <c r="N313" s="267">
        <v>10312.200000000001</v>
      </c>
      <c r="O313" s="268">
        <v>45658</v>
      </c>
      <c r="P313" s="268">
        <v>45659</v>
      </c>
      <c r="Q313" s="270">
        <v>649581</v>
      </c>
    </row>
    <row r="314" spans="1:17" ht="14.1" customHeight="1">
      <c r="A314" s="261" t="s">
        <v>991</v>
      </c>
      <c r="B314" s="262"/>
      <c r="C314" s="263" t="s">
        <v>990</v>
      </c>
      <c r="D314" s="264">
        <v>250000</v>
      </c>
      <c r="E314" s="264">
        <v>0</v>
      </c>
      <c r="F314" s="264">
        <v>2501</v>
      </c>
      <c r="G314" s="261" t="s">
        <v>872</v>
      </c>
      <c r="H314" s="262"/>
      <c r="I314" s="262"/>
      <c r="J314" s="265">
        <v>218321</v>
      </c>
      <c r="K314" s="275">
        <v>36.081000000000003</v>
      </c>
      <c r="L314" s="266">
        <v>3</v>
      </c>
      <c r="M314" s="266">
        <v>3</v>
      </c>
      <c r="N314" s="267">
        <v>3848.4</v>
      </c>
      <c r="O314" s="268">
        <v>45658</v>
      </c>
      <c r="P314" s="268">
        <v>45659</v>
      </c>
      <c r="Q314" s="270">
        <v>649581</v>
      </c>
    </row>
    <row r="315" spans="1:17" ht="14.1" customHeight="1">
      <c r="A315" s="261" t="s">
        <v>992</v>
      </c>
      <c r="B315" s="262"/>
      <c r="C315" s="263" t="s">
        <v>990</v>
      </c>
      <c r="D315" s="264">
        <v>250000</v>
      </c>
      <c r="E315" s="264">
        <v>0</v>
      </c>
      <c r="F315" s="264">
        <v>2501</v>
      </c>
      <c r="G315" s="261" t="s">
        <v>872</v>
      </c>
      <c r="H315" s="262"/>
      <c r="I315" s="262"/>
      <c r="J315" s="265">
        <v>218321</v>
      </c>
      <c r="K315" s="275">
        <v>36.081000000000003</v>
      </c>
      <c r="L315" s="266">
        <v>3</v>
      </c>
      <c r="M315" s="266">
        <v>3</v>
      </c>
      <c r="N315" s="271">
        <v>522</v>
      </c>
      <c r="O315" s="268">
        <v>45658</v>
      </c>
      <c r="P315" s="268">
        <v>45659</v>
      </c>
      <c r="Q315" s="270">
        <v>649581</v>
      </c>
    </row>
    <row r="316" spans="1:17" ht="14.1" customHeight="1">
      <c r="A316" s="261" t="s">
        <v>993</v>
      </c>
      <c r="B316" s="262"/>
      <c r="C316" s="263" t="s">
        <v>990</v>
      </c>
      <c r="D316" s="264">
        <v>250000</v>
      </c>
      <c r="E316" s="264">
        <v>0</v>
      </c>
      <c r="F316" s="264">
        <v>2501</v>
      </c>
      <c r="G316" s="261" t="s">
        <v>872</v>
      </c>
      <c r="H316" s="262"/>
      <c r="I316" s="262"/>
      <c r="J316" s="265">
        <v>218321</v>
      </c>
      <c r="K316" s="275">
        <v>36.081000000000003</v>
      </c>
      <c r="L316" s="266">
        <v>1</v>
      </c>
      <c r="M316" s="266">
        <v>1</v>
      </c>
      <c r="N316" s="267">
        <v>1152</v>
      </c>
      <c r="O316" s="268">
        <v>45658</v>
      </c>
      <c r="P316" s="268">
        <v>45659</v>
      </c>
      <c r="Q316" s="270">
        <v>649581</v>
      </c>
    </row>
    <row r="317" spans="1:17" ht="14.1" customHeight="1">
      <c r="A317" s="261" t="s">
        <v>994</v>
      </c>
      <c r="B317" s="262"/>
      <c r="C317" s="263" t="s">
        <v>749</v>
      </c>
      <c r="D317" s="264">
        <v>250000</v>
      </c>
      <c r="E317" s="264">
        <v>0</v>
      </c>
      <c r="F317" s="264">
        <v>2501</v>
      </c>
      <c r="G317" s="261" t="s">
        <v>872</v>
      </c>
      <c r="H317" s="262"/>
      <c r="I317" s="262"/>
      <c r="J317" s="265">
        <v>2051</v>
      </c>
      <c r="K317" s="275">
        <v>36.081000000000003</v>
      </c>
      <c r="L317" s="266">
        <v>3</v>
      </c>
      <c r="M317" s="266">
        <v>3</v>
      </c>
      <c r="N317" s="267">
        <v>14139.36</v>
      </c>
      <c r="O317" s="268">
        <v>45658</v>
      </c>
      <c r="P317" s="268">
        <v>45728</v>
      </c>
      <c r="Q317" s="270">
        <v>649860</v>
      </c>
    </row>
    <row r="318" spans="1:17" ht="14.1" customHeight="1">
      <c r="A318" s="261" t="s">
        <v>995</v>
      </c>
      <c r="B318" s="262"/>
      <c r="C318" s="263" t="s">
        <v>749</v>
      </c>
      <c r="D318" s="264">
        <v>250000</v>
      </c>
      <c r="E318" s="264">
        <v>0</v>
      </c>
      <c r="F318" s="264">
        <v>2501</v>
      </c>
      <c r="G318" s="261" t="s">
        <v>872</v>
      </c>
      <c r="H318" s="262"/>
      <c r="I318" s="262"/>
      <c r="J318" s="265">
        <v>2051</v>
      </c>
      <c r="K318" s="275">
        <v>36.081000000000003</v>
      </c>
      <c r="L318" s="266">
        <v>2</v>
      </c>
      <c r="M318" s="266">
        <v>2</v>
      </c>
      <c r="N318" s="271">
        <v>624</v>
      </c>
      <c r="O318" s="268">
        <v>45658</v>
      </c>
      <c r="P318" s="268">
        <v>45728</v>
      </c>
      <c r="Q318" s="270">
        <v>649860</v>
      </c>
    </row>
    <row r="319" spans="1:17" ht="14.1" customHeight="1">
      <c r="A319" s="263" t="s">
        <v>996</v>
      </c>
      <c r="B319" s="262"/>
      <c r="C319" s="263" t="s">
        <v>749</v>
      </c>
      <c r="D319" s="264">
        <v>250000</v>
      </c>
      <c r="E319" s="264">
        <v>0</v>
      </c>
      <c r="F319" s="264">
        <v>2501</v>
      </c>
      <c r="G319" s="261" t="s">
        <v>872</v>
      </c>
      <c r="H319" s="262"/>
      <c r="I319" s="262"/>
      <c r="J319" s="265">
        <v>2051</v>
      </c>
      <c r="K319" s="272">
        <v>36.081000000000003</v>
      </c>
      <c r="L319" s="266">
        <v>2</v>
      </c>
      <c r="M319" s="266">
        <v>2</v>
      </c>
      <c r="N319" s="271">
        <v>84</v>
      </c>
      <c r="O319" s="268">
        <v>45658</v>
      </c>
      <c r="P319" s="268">
        <v>45728</v>
      </c>
      <c r="Q319" s="270">
        <v>649860</v>
      </c>
    </row>
    <row r="320" spans="1:17" ht="14.1" customHeight="1">
      <c r="A320" s="263" t="s">
        <v>997</v>
      </c>
      <c r="B320" s="262"/>
      <c r="C320" s="263" t="s">
        <v>749</v>
      </c>
      <c r="D320" s="264">
        <v>250000</v>
      </c>
      <c r="E320" s="264">
        <v>0</v>
      </c>
      <c r="F320" s="264">
        <v>2501</v>
      </c>
      <c r="G320" s="261" t="s">
        <v>872</v>
      </c>
      <c r="H320" s="262"/>
      <c r="I320" s="262"/>
      <c r="J320" s="265">
        <v>2051</v>
      </c>
      <c r="K320" s="272">
        <v>36.081000000000003</v>
      </c>
      <c r="L320" s="266">
        <v>1.5</v>
      </c>
      <c r="M320" s="266">
        <v>1.5</v>
      </c>
      <c r="N320" s="267">
        <v>2359.8000000000002</v>
      </c>
      <c r="O320" s="268">
        <v>45658</v>
      </c>
      <c r="P320" s="268">
        <v>45728</v>
      </c>
      <c r="Q320" s="270">
        <v>649860</v>
      </c>
    </row>
    <row r="321" spans="1:17" ht="14.1" customHeight="1">
      <c r="A321" s="263" t="s">
        <v>998</v>
      </c>
      <c r="B321" s="262"/>
      <c r="C321" s="263" t="s">
        <v>643</v>
      </c>
      <c r="D321" s="264">
        <v>250000</v>
      </c>
      <c r="E321" s="264">
        <v>0</v>
      </c>
      <c r="F321" s="263" t="s">
        <v>999</v>
      </c>
      <c r="G321" s="261" t="s">
        <v>612</v>
      </c>
      <c r="H321" s="262"/>
      <c r="I321" s="262"/>
      <c r="J321" s="265">
        <v>2031</v>
      </c>
      <c r="K321" s="272">
        <v>71.031999999999996</v>
      </c>
      <c r="L321" s="266">
        <v>1</v>
      </c>
      <c r="M321" s="262"/>
      <c r="N321" s="262"/>
      <c r="O321" s="268">
        <v>45658</v>
      </c>
      <c r="P321" s="262"/>
      <c r="Q321" s="262"/>
    </row>
    <row r="322" spans="1:17" ht="14.1" customHeight="1">
      <c r="A322" s="276" t="s">
        <v>942</v>
      </c>
      <c r="B322" s="262"/>
      <c r="C322" s="263" t="s">
        <v>643</v>
      </c>
      <c r="D322" s="264">
        <v>250000</v>
      </c>
      <c r="E322" s="264">
        <v>0</v>
      </c>
      <c r="F322" s="263" t="s">
        <v>999</v>
      </c>
      <c r="G322" s="261" t="s">
        <v>612</v>
      </c>
      <c r="H322" s="262"/>
      <c r="I322" s="262"/>
      <c r="J322" s="265">
        <v>2031</v>
      </c>
      <c r="K322" s="272">
        <v>71.031999999999996</v>
      </c>
      <c r="L322" s="262"/>
      <c r="M322" s="266">
        <v>0</v>
      </c>
      <c r="N322" s="271">
        <v>0</v>
      </c>
      <c r="O322" s="268">
        <v>45658</v>
      </c>
      <c r="P322" s="262"/>
      <c r="Q322" s="262"/>
    </row>
    <row r="323" spans="1:17" ht="14.1" customHeight="1">
      <c r="A323" s="276" t="s">
        <v>943</v>
      </c>
      <c r="B323" s="262"/>
      <c r="C323" s="263" t="s">
        <v>643</v>
      </c>
      <c r="D323" s="264">
        <v>250000</v>
      </c>
      <c r="E323" s="264">
        <v>0</v>
      </c>
      <c r="F323" s="263" t="s">
        <v>999</v>
      </c>
      <c r="G323" s="261" t="s">
        <v>612</v>
      </c>
      <c r="H323" s="262"/>
      <c r="I323" s="262"/>
      <c r="J323" s="265">
        <v>2031</v>
      </c>
      <c r="K323" s="272">
        <v>71.031999999999996</v>
      </c>
      <c r="L323" s="262"/>
      <c r="M323" s="266">
        <v>1</v>
      </c>
      <c r="N323" s="267">
        <v>4500</v>
      </c>
      <c r="O323" s="268">
        <v>45658</v>
      </c>
      <c r="P323" s="268">
        <v>45727</v>
      </c>
      <c r="Q323" s="270">
        <v>649578</v>
      </c>
    </row>
    <row r="324" spans="1:17" ht="14.1" customHeight="1">
      <c r="A324" s="263" t="s">
        <v>1000</v>
      </c>
      <c r="B324" s="262"/>
      <c r="C324" s="263" t="s">
        <v>643</v>
      </c>
      <c r="D324" s="264">
        <v>250000</v>
      </c>
      <c r="E324" s="264">
        <v>0</v>
      </c>
      <c r="F324" s="263" t="s">
        <v>999</v>
      </c>
      <c r="G324" s="261" t="s">
        <v>612</v>
      </c>
      <c r="H324" s="262"/>
      <c r="I324" s="262"/>
      <c r="J324" s="265">
        <v>2031</v>
      </c>
      <c r="K324" s="272">
        <v>71.031999999999996</v>
      </c>
      <c r="L324" s="266">
        <v>1</v>
      </c>
      <c r="M324" s="262"/>
      <c r="N324" s="262"/>
      <c r="O324" s="268">
        <v>45658</v>
      </c>
      <c r="P324" s="262"/>
      <c r="Q324" s="262"/>
    </row>
    <row r="325" spans="1:17" ht="14.1" customHeight="1">
      <c r="A325" s="276" t="s">
        <v>1001</v>
      </c>
      <c r="B325" s="262"/>
      <c r="C325" s="263" t="s">
        <v>643</v>
      </c>
      <c r="D325" s="264">
        <v>250000</v>
      </c>
      <c r="E325" s="264">
        <v>0</v>
      </c>
      <c r="F325" s="263" t="s">
        <v>999</v>
      </c>
      <c r="G325" s="261" t="s">
        <v>612</v>
      </c>
      <c r="H325" s="262"/>
      <c r="I325" s="262"/>
      <c r="J325" s="265">
        <v>2031</v>
      </c>
      <c r="K325" s="272">
        <v>71.031999999999996</v>
      </c>
      <c r="L325" s="262"/>
      <c r="M325" s="266">
        <v>0</v>
      </c>
      <c r="N325" s="271">
        <v>0</v>
      </c>
      <c r="O325" s="268">
        <v>45658</v>
      </c>
      <c r="P325" s="262"/>
      <c r="Q325" s="262"/>
    </row>
    <row r="326" spans="1:17" ht="14.1" customHeight="1">
      <c r="A326" s="276" t="s">
        <v>1002</v>
      </c>
      <c r="B326" s="262"/>
      <c r="C326" s="263" t="s">
        <v>643</v>
      </c>
      <c r="D326" s="264">
        <v>250000</v>
      </c>
      <c r="E326" s="264">
        <v>0</v>
      </c>
      <c r="F326" s="263" t="s">
        <v>999</v>
      </c>
      <c r="G326" s="261" t="s">
        <v>612</v>
      </c>
      <c r="H326" s="262"/>
      <c r="I326" s="262"/>
      <c r="J326" s="265">
        <v>2031</v>
      </c>
      <c r="K326" s="272">
        <v>71.031999999999996</v>
      </c>
      <c r="L326" s="262"/>
      <c r="M326" s="266">
        <v>1</v>
      </c>
      <c r="N326" s="267">
        <v>4500</v>
      </c>
      <c r="O326" s="268">
        <v>45658</v>
      </c>
      <c r="P326" s="268">
        <v>45727</v>
      </c>
      <c r="Q326" s="270">
        <v>649578</v>
      </c>
    </row>
    <row r="327" spans="1:17" ht="14.1" customHeight="1">
      <c r="A327" s="263" t="s">
        <v>1003</v>
      </c>
      <c r="B327" s="262"/>
      <c r="C327" s="263" t="s">
        <v>643</v>
      </c>
      <c r="D327" s="264">
        <v>250000</v>
      </c>
      <c r="E327" s="264">
        <v>0</v>
      </c>
      <c r="F327" s="263" t="s">
        <v>999</v>
      </c>
      <c r="G327" s="261" t="s">
        <v>612</v>
      </c>
      <c r="H327" s="262"/>
      <c r="I327" s="262"/>
      <c r="J327" s="265">
        <v>2031</v>
      </c>
      <c r="K327" s="272">
        <v>71.031999999999996</v>
      </c>
      <c r="L327" s="266">
        <v>1</v>
      </c>
      <c r="M327" s="262"/>
      <c r="N327" s="262"/>
      <c r="O327" s="268">
        <v>45658</v>
      </c>
      <c r="P327" s="262"/>
      <c r="Q327" s="262"/>
    </row>
    <row r="328" spans="1:17" ht="14.1" customHeight="1">
      <c r="A328" s="276" t="s">
        <v>1004</v>
      </c>
      <c r="B328" s="262"/>
      <c r="C328" s="263" t="s">
        <v>643</v>
      </c>
      <c r="D328" s="264">
        <v>250000</v>
      </c>
      <c r="E328" s="264">
        <v>0</v>
      </c>
      <c r="F328" s="263" t="s">
        <v>999</v>
      </c>
      <c r="G328" s="261" t="s">
        <v>612</v>
      </c>
      <c r="H328" s="262"/>
      <c r="I328" s="262"/>
      <c r="J328" s="265">
        <v>2031</v>
      </c>
      <c r="K328" s="272">
        <v>71.031999999999996</v>
      </c>
      <c r="L328" s="262"/>
      <c r="M328" s="266">
        <v>0</v>
      </c>
      <c r="N328" s="271">
        <v>0</v>
      </c>
      <c r="O328" s="268">
        <v>45658</v>
      </c>
      <c r="P328" s="262"/>
      <c r="Q328" s="262"/>
    </row>
    <row r="329" spans="1:17" ht="14.1" customHeight="1">
      <c r="A329" s="276" t="s">
        <v>1005</v>
      </c>
      <c r="B329" s="262"/>
      <c r="C329" s="263" t="s">
        <v>643</v>
      </c>
      <c r="D329" s="264">
        <v>250000</v>
      </c>
      <c r="E329" s="264">
        <v>0</v>
      </c>
      <c r="F329" s="263" t="s">
        <v>999</v>
      </c>
      <c r="G329" s="261" t="s">
        <v>612</v>
      </c>
      <c r="H329" s="262"/>
      <c r="I329" s="262"/>
      <c r="J329" s="265">
        <v>2031</v>
      </c>
      <c r="K329" s="272">
        <v>71.031999999999996</v>
      </c>
      <c r="L329" s="262"/>
      <c r="M329" s="266">
        <v>1</v>
      </c>
      <c r="N329" s="271">
        <v>600</v>
      </c>
      <c r="O329" s="268">
        <v>45658</v>
      </c>
      <c r="P329" s="268">
        <v>45727</v>
      </c>
      <c r="Q329" s="270">
        <v>649578</v>
      </c>
    </row>
    <row r="330" spans="1:17" ht="14.1" customHeight="1">
      <c r="A330" s="263" t="s">
        <v>1006</v>
      </c>
      <c r="B330" s="262"/>
      <c r="C330" s="263" t="s">
        <v>643</v>
      </c>
      <c r="D330" s="264">
        <v>250000</v>
      </c>
      <c r="E330" s="264">
        <v>0</v>
      </c>
      <c r="F330" s="263" t="s">
        <v>999</v>
      </c>
      <c r="G330" s="261" t="s">
        <v>612</v>
      </c>
      <c r="H330" s="262"/>
      <c r="I330" s="262"/>
      <c r="J330" s="265">
        <v>2031</v>
      </c>
      <c r="K330" s="272">
        <v>71.031999999999996</v>
      </c>
      <c r="L330" s="266">
        <v>1</v>
      </c>
      <c r="M330" s="262"/>
      <c r="N330" s="262"/>
      <c r="O330" s="268">
        <v>45658</v>
      </c>
      <c r="P330" s="262"/>
      <c r="Q330" s="262"/>
    </row>
    <row r="331" spans="1:17" ht="14.1" customHeight="1">
      <c r="A331" s="276" t="s">
        <v>1007</v>
      </c>
      <c r="B331" s="262"/>
      <c r="C331" s="263" t="s">
        <v>643</v>
      </c>
      <c r="D331" s="264">
        <v>250000</v>
      </c>
      <c r="E331" s="264">
        <v>0</v>
      </c>
      <c r="F331" s="263" t="s">
        <v>999</v>
      </c>
      <c r="G331" s="261" t="s">
        <v>612</v>
      </c>
      <c r="H331" s="262"/>
      <c r="I331" s="262"/>
      <c r="J331" s="265">
        <v>2031</v>
      </c>
      <c r="K331" s="272">
        <v>71.031999999999996</v>
      </c>
      <c r="L331" s="262"/>
      <c r="M331" s="266">
        <v>0</v>
      </c>
      <c r="N331" s="271">
        <v>0</v>
      </c>
      <c r="O331" s="268">
        <v>45658</v>
      </c>
      <c r="P331" s="262"/>
      <c r="Q331" s="262"/>
    </row>
    <row r="332" spans="1:17" ht="14.1" customHeight="1">
      <c r="A332" s="276" t="s">
        <v>1008</v>
      </c>
      <c r="B332" s="262"/>
      <c r="C332" s="263" t="s">
        <v>643</v>
      </c>
      <c r="D332" s="264">
        <v>250000</v>
      </c>
      <c r="E332" s="264">
        <v>0</v>
      </c>
      <c r="F332" s="263" t="s">
        <v>999</v>
      </c>
      <c r="G332" s="261" t="s">
        <v>612</v>
      </c>
      <c r="H332" s="262"/>
      <c r="I332" s="262"/>
      <c r="J332" s="265">
        <v>2031</v>
      </c>
      <c r="K332" s="272">
        <v>71.031999999999996</v>
      </c>
      <c r="L332" s="262"/>
      <c r="M332" s="266">
        <v>1</v>
      </c>
      <c r="N332" s="271">
        <v>600</v>
      </c>
      <c r="O332" s="268">
        <v>45658</v>
      </c>
      <c r="P332" s="268">
        <v>45727</v>
      </c>
      <c r="Q332" s="270">
        <v>649578</v>
      </c>
    </row>
    <row r="333" spans="1:17" ht="14.1" customHeight="1">
      <c r="A333" s="263" t="s">
        <v>1009</v>
      </c>
      <c r="B333" s="262"/>
      <c r="C333" s="263" t="s">
        <v>643</v>
      </c>
      <c r="D333" s="264">
        <v>250000</v>
      </c>
      <c r="E333" s="264">
        <v>0</v>
      </c>
      <c r="F333" s="263" t="s">
        <v>999</v>
      </c>
      <c r="G333" s="261" t="s">
        <v>612</v>
      </c>
      <c r="H333" s="262"/>
      <c r="I333" s="262"/>
      <c r="J333" s="265">
        <v>2031</v>
      </c>
      <c r="K333" s="272">
        <v>71.031999999999996</v>
      </c>
      <c r="L333" s="266">
        <v>1</v>
      </c>
      <c r="M333" s="262"/>
      <c r="N333" s="262"/>
      <c r="O333" s="268">
        <v>45658</v>
      </c>
      <c r="P333" s="262"/>
      <c r="Q333" s="262"/>
    </row>
    <row r="334" spans="1:17" ht="14.1" customHeight="1">
      <c r="A334" s="276" t="s">
        <v>1010</v>
      </c>
      <c r="B334" s="262"/>
      <c r="C334" s="263" t="s">
        <v>643</v>
      </c>
      <c r="D334" s="264">
        <v>250000</v>
      </c>
      <c r="E334" s="264">
        <v>0</v>
      </c>
      <c r="F334" s="263" t="s">
        <v>999</v>
      </c>
      <c r="G334" s="261" t="s">
        <v>612</v>
      </c>
      <c r="H334" s="262"/>
      <c r="I334" s="262"/>
      <c r="J334" s="265">
        <v>2031</v>
      </c>
      <c r="K334" s="272">
        <v>71.031999999999996</v>
      </c>
      <c r="L334" s="262"/>
      <c r="M334" s="266">
        <v>0</v>
      </c>
      <c r="N334" s="271">
        <v>0</v>
      </c>
      <c r="O334" s="268">
        <v>45658</v>
      </c>
      <c r="P334" s="262"/>
      <c r="Q334" s="262"/>
    </row>
    <row r="335" spans="1:17" ht="14.1" customHeight="1">
      <c r="A335" s="276" t="s">
        <v>1011</v>
      </c>
      <c r="B335" s="262"/>
      <c r="C335" s="263" t="s">
        <v>643</v>
      </c>
      <c r="D335" s="264">
        <v>250000</v>
      </c>
      <c r="E335" s="264">
        <v>0</v>
      </c>
      <c r="F335" s="263" t="s">
        <v>999</v>
      </c>
      <c r="G335" s="261" t="s">
        <v>612</v>
      </c>
      <c r="H335" s="262"/>
      <c r="I335" s="262"/>
      <c r="J335" s="265">
        <v>2031</v>
      </c>
      <c r="K335" s="272">
        <v>71.031999999999996</v>
      </c>
      <c r="L335" s="262"/>
      <c r="M335" s="266">
        <v>1</v>
      </c>
      <c r="N335" s="267">
        <v>3900</v>
      </c>
      <c r="O335" s="268">
        <v>45658</v>
      </c>
      <c r="P335" s="268">
        <v>45727</v>
      </c>
      <c r="Q335" s="270">
        <v>649578</v>
      </c>
    </row>
    <row r="336" spans="1:17" ht="14.1" customHeight="1">
      <c r="A336" s="263" t="s">
        <v>1012</v>
      </c>
      <c r="B336" s="262"/>
      <c r="C336" s="263" t="s">
        <v>643</v>
      </c>
      <c r="D336" s="264">
        <v>250000</v>
      </c>
      <c r="E336" s="264">
        <v>0</v>
      </c>
      <c r="F336" s="263" t="s">
        <v>999</v>
      </c>
      <c r="G336" s="261" t="s">
        <v>612</v>
      </c>
      <c r="H336" s="262"/>
      <c r="I336" s="262"/>
      <c r="J336" s="265">
        <v>2031</v>
      </c>
      <c r="K336" s="272">
        <v>71.031999999999996</v>
      </c>
      <c r="L336" s="266">
        <v>1</v>
      </c>
      <c r="M336" s="262"/>
      <c r="N336" s="262"/>
      <c r="O336" s="268">
        <v>45658</v>
      </c>
      <c r="P336" s="262"/>
      <c r="Q336" s="262"/>
    </row>
    <row r="337" spans="1:17" ht="14.1" customHeight="1">
      <c r="A337" s="276" t="s">
        <v>1013</v>
      </c>
      <c r="B337" s="262"/>
      <c r="C337" s="263" t="s">
        <v>643</v>
      </c>
      <c r="D337" s="264">
        <v>250000</v>
      </c>
      <c r="E337" s="264">
        <v>0</v>
      </c>
      <c r="F337" s="263" t="s">
        <v>999</v>
      </c>
      <c r="G337" s="261" t="s">
        <v>612</v>
      </c>
      <c r="H337" s="262"/>
      <c r="I337" s="262"/>
      <c r="J337" s="265">
        <v>2031</v>
      </c>
      <c r="K337" s="272">
        <v>71.031999999999996</v>
      </c>
      <c r="L337" s="262"/>
      <c r="M337" s="266">
        <v>0</v>
      </c>
      <c r="N337" s="271">
        <v>0</v>
      </c>
      <c r="O337" s="268">
        <v>45658</v>
      </c>
      <c r="P337" s="262"/>
      <c r="Q337" s="262"/>
    </row>
    <row r="338" spans="1:17" ht="14.1" customHeight="1">
      <c r="A338" s="276" t="s">
        <v>1014</v>
      </c>
      <c r="B338" s="262"/>
      <c r="C338" s="263" t="s">
        <v>643</v>
      </c>
      <c r="D338" s="264">
        <v>250000</v>
      </c>
      <c r="E338" s="264">
        <v>0</v>
      </c>
      <c r="F338" s="263" t="s">
        <v>999</v>
      </c>
      <c r="G338" s="261" t="s">
        <v>612</v>
      </c>
      <c r="H338" s="262"/>
      <c r="I338" s="262"/>
      <c r="J338" s="265">
        <v>2031</v>
      </c>
      <c r="K338" s="272">
        <v>71.031999999999996</v>
      </c>
      <c r="L338" s="262"/>
      <c r="M338" s="266">
        <v>1</v>
      </c>
      <c r="N338" s="267">
        <v>3900</v>
      </c>
      <c r="O338" s="268">
        <v>45658</v>
      </c>
      <c r="P338" s="268">
        <v>45727</v>
      </c>
      <c r="Q338" s="270">
        <v>649578</v>
      </c>
    </row>
    <row r="339" spans="1:17" ht="14.1" customHeight="1">
      <c r="A339" s="263" t="s">
        <v>1015</v>
      </c>
      <c r="B339" s="262"/>
      <c r="C339" s="263" t="s">
        <v>643</v>
      </c>
      <c r="D339" s="264">
        <v>250000</v>
      </c>
      <c r="E339" s="264">
        <v>0</v>
      </c>
      <c r="F339" s="263" t="s">
        <v>999</v>
      </c>
      <c r="G339" s="261" t="s">
        <v>612</v>
      </c>
      <c r="H339" s="262"/>
      <c r="I339" s="262"/>
      <c r="J339" s="265">
        <v>2031</v>
      </c>
      <c r="K339" s="272">
        <v>71.031999999999996</v>
      </c>
      <c r="L339" s="266">
        <v>1</v>
      </c>
      <c r="M339" s="262"/>
      <c r="N339" s="262"/>
      <c r="O339" s="268">
        <v>45658</v>
      </c>
      <c r="P339" s="262"/>
      <c r="Q339" s="262"/>
    </row>
    <row r="340" spans="1:17" ht="14.1" customHeight="1">
      <c r="A340" s="276" t="s">
        <v>1016</v>
      </c>
      <c r="B340" s="262"/>
      <c r="C340" s="263" t="s">
        <v>643</v>
      </c>
      <c r="D340" s="264">
        <v>250000</v>
      </c>
      <c r="E340" s="264">
        <v>0</v>
      </c>
      <c r="F340" s="263" t="s">
        <v>999</v>
      </c>
      <c r="G340" s="261" t="s">
        <v>612</v>
      </c>
      <c r="H340" s="262"/>
      <c r="I340" s="262"/>
      <c r="J340" s="265">
        <v>2031</v>
      </c>
      <c r="K340" s="272">
        <v>71.031999999999996</v>
      </c>
      <c r="L340" s="262"/>
      <c r="M340" s="266">
        <v>0</v>
      </c>
      <c r="N340" s="271">
        <v>0</v>
      </c>
      <c r="O340" s="268">
        <v>45658</v>
      </c>
      <c r="P340" s="262"/>
      <c r="Q340" s="262"/>
    </row>
    <row r="341" spans="1:17" ht="14.1" customHeight="1">
      <c r="A341" s="276" t="s">
        <v>1017</v>
      </c>
      <c r="B341" s="262"/>
      <c r="C341" s="263" t="s">
        <v>643</v>
      </c>
      <c r="D341" s="264">
        <v>250000</v>
      </c>
      <c r="E341" s="264">
        <v>0</v>
      </c>
      <c r="F341" s="263" t="s">
        <v>999</v>
      </c>
      <c r="G341" s="261" t="s">
        <v>612</v>
      </c>
      <c r="H341" s="262"/>
      <c r="I341" s="262"/>
      <c r="J341" s="265">
        <v>2031</v>
      </c>
      <c r="K341" s="272">
        <v>71.031999999999996</v>
      </c>
      <c r="L341" s="262"/>
      <c r="M341" s="266">
        <v>150</v>
      </c>
      <c r="N341" s="267">
        <v>6300</v>
      </c>
      <c r="O341" s="268">
        <v>45658</v>
      </c>
      <c r="P341" s="268">
        <v>45727</v>
      </c>
      <c r="Q341" s="270">
        <v>649578</v>
      </c>
    </row>
    <row r="342" spans="1:17" ht="14.1" customHeight="1">
      <c r="A342" s="263" t="s">
        <v>1018</v>
      </c>
      <c r="B342" s="262"/>
      <c r="C342" s="263" t="s">
        <v>643</v>
      </c>
      <c r="D342" s="264">
        <v>250000</v>
      </c>
      <c r="E342" s="264">
        <v>0</v>
      </c>
      <c r="F342" s="263" t="s">
        <v>999</v>
      </c>
      <c r="G342" s="261" t="s">
        <v>612</v>
      </c>
      <c r="H342" s="262"/>
      <c r="I342" s="262"/>
      <c r="J342" s="265">
        <v>2031</v>
      </c>
      <c r="K342" s="272">
        <v>71.031999999999996</v>
      </c>
      <c r="L342" s="266">
        <v>169</v>
      </c>
      <c r="M342" s="266">
        <v>169</v>
      </c>
      <c r="N342" s="267">
        <v>7098</v>
      </c>
      <c r="O342" s="268">
        <v>45658</v>
      </c>
      <c r="P342" s="268">
        <v>45727</v>
      </c>
      <c r="Q342" s="270">
        <v>649578</v>
      </c>
    </row>
    <row r="343" spans="1:17" ht="14.1" customHeight="1">
      <c r="A343" s="263" t="s">
        <v>1019</v>
      </c>
      <c r="B343" s="262"/>
      <c r="C343" s="263" t="s">
        <v>643</v>
      </c>
      <c r="D343" s="264">
        <v>250000</v>
      </c>
      <c r="E343" s="264">
        <v>0</v>
      </c>
      <c r="F343" s="263" t="s">
        <v>999</v>
      </c>
      <c r="G343" s="261" t="s">
        <v>612</v>
      </c>
      <c r="H343" s="262"/>
      <c r="I343" s="262"/>
      <c r="J343" s="265">
        <v>2031</v>
      </c>
      <c r="K343" s="272">
        <v>71.031999999999996</v>
      </c>
      <c r="L343" s="266">
        <v>4</v>
      </c>
      <c r="M343" s="266">
        <v>4</v>
      </c>
      <c r="N343" s="271">
        <v>720</v>
      </c>
      <c r="O343" s="268">
        <v>45658</v>
      </c>
      <c r="P343" s="268">
        <v>45727</v>
      </c>
      <c r="Q343" s="270">
        <v>649578</v>
      </c>
    </row>
    <row r="344" spans="1:17" ht="14.1" customHeight="1">
      <c r="A344" s="263" t="s">
        <v>1020</v>
      </c>
      <c r="B344" s="262"/>
      <c r="C344" s="263" t="s">
        <v>643</v>
      </c>
      <c r="D344" s="264">
        <v>250000</v>
      </c>
      <c r="E344" s="264">
        <v>0</v>
      </c>
      <c r="F344" s="263" t="s">
        <v>999</v>
      </c>
      <c r="G344" s="261" t="s">
        <v>612</v>
      </c>
      <c r="H344" s="262"/>
      <c r="I344" s="262"/>
      <c r="J344" s="265">
        <v>2031</v>
      </c>
      <c r="K344" s="272">
        <v>71.031999999999996</v>
      </c>
      <c r="L344" s="266">
        <v>4</v>
      </c>
      <c r="M344" s="266">
        <v>4</v>
      </c>
      <c r="N344" s="271">
        <v>432</v>
      </c>
      <c r="O344" s="268">
        <v>45658</v>
      </c>
      <c r="P344" s="268">
        <v>45727</v>
      </c>
      <c r="Q344" s="270">
        <v>649578</v>
      </c>
    </row>
    <row r="345" spans="1:17" ht="14.1" customHeight="1">
      <c r="A345" s="263" t="s">
        <v>1021</v>
      </c>
      <c r="B345" s="262"/>
      <c r="C345" s="263" t="s">
        <v>1022</v>
      </c>
      <c r="D345" s="263" t="s">
        <v>1023</v>
      </c>
      <c r="E345" s="264">
        <v>0</v>
      </c>
      <c r="F345" s="264">
        <v>8502</v>
      </c>
      <c r="G345" s="261" t="s">
        <v>957</v>
      </c>
      <c r="H345" s="262"/>
      <c r="I345" s="262"/>
      <c r="J345" s="265">
        <v>2154111</v>
      </c>
      <c r="K345" s="264">
        <v>1825</v>
      </c>
      <c r="L345" s="266">
        <v>1</v>
      </c>
      <c r="M345" s="266">
        <v>1</v>
      </c>
      <c r="N345" s="267">
        <v>19788.14</v>
      </c>
      <c r="O345" s="268">
        <v>45658</v>
      </c>
      <c r="P345" s="262"/>
      <c r="Q345" s="262"/>
    </row>
    <row r="346" spans="1:17" ht="14.1" customHeight="1">
      <c r="A346" s="263" t="s">
        <v>1024</v>
      </c>
      <c r="B346" s="262"/>
      <c r="C346" s="263" t="s">
        <v>1025</v>
      </c>
      <c r="D346" s="263" t="s">
        <v>1026</v>
      </c>
      <c r="E346" s="264">
        <v>0</v>
      </c>
      <c r="F346" s="264">
        <v>1903</v>
      </c>
      <c r="G346" s="261" t="s">
        <v>957</v>
      </c>
      <c r="H346" s="262"/>
      <c r="I346" s="262"/>
      <c r="J346" s="265">
        <v>213515</v>
      </c>
      <c r="K346" s="264">
        <v>3504</v>
      </c>
      <c r="L346" s="266">
        <v>1</v>
      </c>
      <c r="M346" s="266">
        <v>0.7</v>
      </c>
      <c r="N346" s="267">
        <v>71652</v>
      </c>
      <c r="O346" s="268">
        <v>45658</v>
      </c>
      <c r="P346" s="262"/>
      <c r="Q346" s="262"/>
    </row>
    <row r="347" spans="1:17" ht="14.1" customHeight="1">
      <c r="A347" s="263" t="s">
        <v>1027</v>
      </c>
      <c r="B347" s="262"/>
      <c r="C347" s="263" t="s">
        <v>1028</v>
      </c>
      <c r="D347" s="263" t="s">
        <v>979</v>
      </c>
      <c r="E347" s="264">
        <v>5</v>
      </c>
      <c r="F347" s="264">
        <v>2401</v>
      </c>
      <c r="G347" s="261" t="s">
        <v>872</v>
      </c>
      <c r="H347" s="262"/>
      <c r="I347" s="262"/>
      <c r="J347" s="265">
        <v>218321</v>
      </c>
      <c r="K347" s="272">
        <v>38.011000000000003</v>
      </c>
      <c r="L347" s="266">
        <v>5</v>
      </c>
      <c r="M347" s="266">
        <v>5</v>
      </c>
      <c r="N347" s="267">
        <v>9774</v>
      </c>
      <c r="O347" s="268">
        <v>45658</v>
      </c>
      <c r="P347" s="262"/>
      <c r="Q347" s="262"/>
    </row>
    <row r="348" spans="1:17" ht="14.1" customHeight="1">
      <c r="A348" s="261" t="s">
        <v>1029</v>
      </c>
      <c r="B348" s="262"/>
      <c r="C348" s="263" t="s">
        <v>1028</v>
      </c>
      <c r="D348" s="263" t="s">
        <v>979</v>
      </c>
      <c r="E348" s="264">
        <v>5</v>
      </c>
      <c r="F348" s="264">
        <v>2401</v>
      </c>
      <c r="G348" s="261" t="s">
        <v>872</v>
      </c>
      <c r="H348" s="262"/>
      <c r="I348" s="262"/>
      <c r="J348" s="265">
        <v>218321</v>
      </c>
      <c r="K348" s="275">
        <v>38.011000000000003</v>
      </c>
      <c r="L348" s="266">
        <v>5</v>
      </c>
      <c r="M348" s="266">
        <v>5</v>
      </c>
      <c r="N348" s="271">
        <v>579</v>
      </c>
      <c r="O348" s="268">
        <v>45658</v>
      </c>
      <c r="P348" s="262"/>
      <c r="Q348" s="262"/>
    </row>
    <row r="349" spans="1:17" ht="14.1" customHeight="1">
      <c r="A349" s="261" t="s">
        <v>1030</v>
      </c>
      <c r="B349" s="262"/>
      <c r="C349" s="263" t="s">
        <v>1028</v>
      </c>
      <c r="D349" s="263" t="s">
        <v>979</v>
      </c>
      <c r="E349" s="264">
        <v>5</v>
      </c>
      <c r="F349" s="264">
        <v>2401</v>
      </c>
      <c r="G349" s="261" t="s">
        <v>872</v>
      </c>
      <c r="H349" s="262"/>
      <c r="I349" s="262"/>
      <c r="J349" s="265">
        <v>218321</v>
      </c>
      <c r="K349" s="275">
        <v>38.011000000000003</v>
      </c>
      <c r="L349" s="266">
        <v>5</v>
      </c>
      <c r="M349" s="266">
        <v>5</v>
      </c>
      <c r="N349" s="271">
        <v>868.2</v>
      </c>
      <c r="O349" s="268">
        <v>45658</v>
      </c>
      <c r="P349" s="262"/>
      <c r="Q349" s="262"/>
    </row>
    <row r="350" spans="1:17" ht="14.1" customHeight="1">
      <c r="A350" s="261" t="s">
        <v>1031</v>
      </c>
      <c r="B350" s="262"/>
      <c r="C350" s="263" t="s">
        <v>1028</v>
      </c>
      <c r="D350" s="263" t="s">
        <v>979</v>
      </c>
      <c r="E350" s="264">
        <v>5</v>
      </c>
      <c r="F350" s="264">
        <v>2401</v>
      </c>
      <c r="G350" s="261" t="s">
        <v>872</v>
      </c>
      <c r="H350" s="262"/>
      <c r="I350" s="262"/>
      <c r="J350" s="265">
        <v>218321</v>
      </c>
      <c r="K350" s="275">
        <v>38.011000000000003</v>
      </c>
      <c r="L350" s="266">
        <v>5</v>
      </c>
      <c r="M350" s="266">
        <v>5</v>
      </c>
      <c r="N350" s="271">
        <v>507</v>
      </c>
      <c r="O350" s="268">
        <v>45658</v>
      </c>
      <c r="P350" s="262"/>
      <c r="Q350" s="262"/>
    </row>
    <row r="351" spans="1:17" ht="14.1" customHeight="1">
      <c r="A351" s="261" t="s">
        <v>1032</v>
      </c>
      <c r="B351" s="262"/>
      <c r="C351" s="263" t="s">
        <v>1028</v>
      </c>
      <c r="D351" s="263" t="s">
        <v>979</v>
      </c>
      <c r="E351" s="264">
        <v>5</v>
      </c>
      <c r="F351" s="264">
        <v>2401</v>
      </c>
      <c r="G351" s="261" t="s">
        <v>872</v>
      </c>
      <c r="H351" s="262"/>
      <c r="I351" s="262"/>
      <c r="J351" s="265">
        <v>218321</v>
      </c>
      <c r="K351" s="275">
        <v>38.011000000000003</v>
      </c>
      <c r="L351" s="266">
        <v>5</v>
      </c>
      <c r="M351" s="266">
        <v>5</v>
      </c>
      <c r="N351" s="271">
        <v>522</v>
      </c>
      <c r="O351" s="268">
        <v>45658</v>
      </c>
      <c r="P351" s="262"/>
      <c r="Q351" s="262"/>
    </row>
    <row r="352" spans="1:17" ht="14.1" customHeight="1">
      <c r="A352" s="261" t="s">
        <v>1033</v>
      </c>
      <c r="B352" s="262"/>
      <c r="C352" s="263" t="s">
        <v>1034</v>
      </c>
      <c r="D352" s="264">
        <v>250000</v>
      </c>
      <c r="E352" s="264">
        <v>0</v>
      </c>
      <c r="F352" s="264">
        <v>3500</v>
      </c>
      <c r="G352" s="261" t="s">
        <v>957</v>
      </c>
      <c r="H352" s="262"/>
      <c r="I352" s="262"/>
      <c r="J352" s="265">
        <v>2154111</v>
      </c>
      <c r="K352" s="270">
        <v>18341</v>
      </c>
      <c r="L352" s="266">
        <v>1</v>
      </c>
      <c r="M352" s="266">
        <v>1</v>
      </c>
      <c r="N352" s="267">
        <v>2054.94</v>
      </c>
      <c r="O352" s="268">
        <v>45658</v>
      </c>
      <c r="P352" s="262"/>
      <c r="Q352" s="262"/>
    </row>
    <row r="353" spans="1:17" ht="14.1" customHeight="1">
      <c r="A353" s="261" t="s">
        <v>1035</v>
      </c>
      <c r="B353" s="262"/>
      <c r="C353" s="263" t="s">
        <v>1034</v>
      </c>
      <c r="D353" s="264">
        <v>250000</v>
      </c>
      <c r="E353" s="264">
        <v>0</v>
      </c>
      <c r="F353" s="264">
        <v>9301</v>
      </c>
      <c r="G353" s="261" t="s">
        <v>957</v>
      </c>
      <c r="H353" s="262"/>
      <c r="I353" s="262"/>
      <c r="J353" s="265">
        <v>2154111</v>
      </c>
      <c r="K353" s="270">
        <v>18341</v>
      </c>
      <c r="L353" s="266">
        <v>1</v>
      </c>
      <c r="M353" s="266">
        <v>1</v>
      </c>
      <c r="N353" s="267">
        <v>2054.94</v>
      </c>
      <c r="O353" s="268">
        <v>45658</v>
      </c>
      <c r="P353" s="262"/>
      <c r="Q353" s="262"/>
    </row>
    <row r="354" spans="1:17" ht="14.1" customHeight="1">
      <c r="A354" s="261" t="s">
        <v>1036</v>
      </c>
      <c r="B354" s="262"/>
      <c r="C354" s="263" t="s">
        <v>1034</v>
      </c>
      <c r="D354" s="264">
        <v>250000</v>
      </c>
      <c r="E354" s="264">
        <v>0</v>
      </c>
      <c r="F354" s="264">
        <v>8503</v>
      </c>
      <c r="G354" s="261" t="s">
        <v>957</v>
      </c>
      <c r="H354" s="262"/>
      <c r="I354" s="262"/>
      <c r="J354" s="265">
        <v>2154111</v>
      </c>
      <c r="K354" s="270">
        <v>18341</v>
      </c>
      <c r="L354" s="266">
        <v>2</v>
      </c>
      <c r="M354" s="266">
        <v>2</v>
      </c>
      <c r="N354" s="267">
        <v>4109.88</v>
      </c>
      <c r="O354" s="268">
        <v>45658</v>
      </c>
      <c r="P354" s="262"/>
      <c r="Q354" s="262"/>
    </row>
    <row r="355" spans="1:17" ht="14.1" customHeight="1">
      <c r="A355" s="261" t="s">
        <v>1037</v>
      </c>
      <c r="B355" s="262"/>
      <c r="C355" s="263" t="s">
        <v>1034</v>
      </c>
      <c r="D355" s="264">
        <v>250000</v>
      </c>
      <c r="E355" s="264">
        <v>0</v>
      </c>
      <c r="F355" s="264">
        <v>6001</v>
      </c>
      <c r="G355" s="261" t="s">
        <v>957</v>
      </c>
      <c r="H355" s="262"/>
      <c r="I355" s="262"/>
      <c r="J355" s="265">
        <v>2154111</v>
      </c>
      <c r="K355" s="270">
        <v>18341</v>
      </c>
      <c r="L355" s="266">
        <v>1</v>
      </c>
      <c r="M355" s="266">
        <v>1</v>
      </c>
      <c r="N355" s="267">
        <v>2054.94</v>
      </c>
      <c r="O355" s="268">
        <v>45658</v>
      </c>
      <c r="P355" s="262"/>
      <c r="Q355" s="262"/>
    </row>
    <row r="356" spans="1:17" ht="14.1" customHeight="1">
      <c r="A356" s="261" t="s">
        <v>1038</v>
      </c>
      <c r="B356" s="262"/>
      <c r="C356" s="263" t="s">
        <v>1034</v>
      </c>
      <c r="D356" s="264">
        <v>250000</v>
      </c>
      <c r="E356" s="264">
        <v>0</v>
      </c>
      <c r="F356" s="264">
        <v>9711</v>
      </c>
      <c r="G356" s="261" t="s">
        <v>957</v>
      </c>
      <c r="H356" s="262"/>
      <c r="I356" s="262"/>
      <c r="J356" s="265">
        <v>215441</v>
      </c>
      <c r="K356" s="270">
        <v>18341</v>
      </c>
      <c r="L356" s="266">
        <v>1</v>
      </c>
      <c r="M356" s="266">
        <v>1</v>
      </c>
      <c r="N356" s="267">
        <v>2054.94</v>
      </c>
      <c r="O356" s="268">
        <v>45658</v>
      </c>
      <c r="P356" s="262"/>
      <c r="Q356" s="262"/>
    </row>
    <row r="357" spans="1:17" ht="14.1" customHeight="1">
      <c r="A357" s="261" t="s">
        <v>1039</v>
      </c>
      <c r="B357" s="262"/>
      <c r="C357" s="263" t="s">
        <v>1034</v>
      </c>
      <c r="D357" s="264">
        <v>250000</v>
      </c>
      <c r="E357" s="264">
        <v>0</v>
      </c>
      <c r="F357" s="264">
        <v>7631</v>
      </c>
      <c r="G357" s="261" t="s">
        <v>957</v>
      </c>
      <c r="H357" s="262"/>
      <c r="I357" s="262"/>
      <c r="J357" s="265">
        <v>215441</v>
      </c>
      <c r="K357" s="270">
        <v>18341</v>
      </c>
      <c r="L357" s="266">
        <v>1</v>
      </c>
      <c r="M357" s="266">
        <v>1</v>
      </c>
      <c r="N357" s="267">
        <v>2054.94</v>
      </c>
      <c r="O357" s="268">
        <v>45658</v>
      </c>
      <c r="P357" s="262"/>
      <c r="Q357" s="262"/>
    </row>
    <row r="358" spans="1:17" ht="14.1" customHeight="1">
      <c r="A358" s="261" t="s">
        <v>1040</v>
      </c>
      <c r="B358" s="262"/>
      <c r="C358" s="263" t="s">
        <v>1034</v>
      </c>
      <c r="D358" s="264">
        <v>250000</v>
      </c>
      <c r="E358" s="264">
        <v>0</v>
      </c>
      <c r="F358" s="264">
        <v>7621</v>
      </c>
      <c r="G358" s="261" t="s">
        <v>957</v>
      </c>
      <c r="H358" s="262"/>
      <c r="I358" s="262"/>
      <c r="J358" s="265">
        <v>215441</v>
      </c>
      <c r="K358" s="270">
        <v>18341</v>
      </c>
      <c r="L358" s="266">
        <v>1</v>
      </c>
      <c r="M358" s="266">
        <v>1</v>
      </c>
      <c r="N358" s="267">
        <v>2054.94</v>
      </c>
      <c r="O358" s="268">
        <v>45658</v>
      </c>
      <c r="P358" s="262"/>
      <c r="Q358" s="262"/>
    </row>
    <row r="359" spans="1:17" ht="14.1" customHeight="1">
      <c r="A359" s="261" t="s">
        <v>1041</v>
      </c>
      <c r="B359" s="262"/>
      <c r="C359" s="263" t="s">
        <v>978</v>
      </c>
      <c r="D359" s="263" t="s">
        <v>1042</v>
      </c>
      <c r="E359" s="264">
        <v>0</v>
      </c>
      <c r="F359" s="269">
        <v>201</v>
      </c>
      <c r="G359" s="261" t="s">
        <v>612</v>
      </c>
      <c r="H359" s="262"/>
      <c r="I359" s="262"/>
      <c r="J359" s="265">
        <v>218321</v>
      </c>
      <c r="K359" s="261" t="s">
        <v>1043</v>
      </c>
      <c r="L359" s="266">
        <v>6</v>
      </c>
      <c r="M359" s="266">
        <v>6</v>
      </c>
      <c r="N359" s="267">
        <v>2268</v>
      </c>
      <c r="O359" s="268">
        <v>45658</v>
      </c>
      <c r="P359" s="262"/>
      <c r="Q359" s="262"/>
    </row>
    <row r="360" spans="1:17" ht="14.1" customHeight="1">
      <c r="A360" s="261" t="s">
        <v>1044</v>
      </c>
      <c r="B360" s="262"/>
      <c r="C360" s="263" t="s">
        <v>978</v>
      </c>
      <c r="D360" s="263" t="s">
        <v>1042</v>
      </c>
      <c r="E360" s="264">
        <v>0</v>
      </c>
      <c r="F360" s="269">
        <v>201</v>
      </c>
      <c r="G360" s="261" t="s">
        <v>612</v>
      </c>
      <c r="H360" s="262"/>
      <c r="I360" s="262"/>
      <c r="J360" s="265">
        <v>218321</v>
      </c>
      <c r="K360" s="261" t="s">
        <v>1043</v>
      </c>
      <c r="L360" s="266">
        <v>20</v>
      </c>
      <c r="M360" s="266">
        <v>20</v>
      </c>
      <c r="N360" s="267">
        <v>3010.56</v>
      </c>
      <c r="O360" s="268">
        <v>45658</v>
      </c>
      <c r="P360" s="262"/>
      <c r="Q360" s="262"/>
    </row>
    <row r="361" spans="1:17" ht="14.1" customHeight="1">
      <c r="A361" s="261" t="s">
        <v>1045</v>
      </c>
      <c r="B361" s="262"/>
      <c r="C361" s="263" t="s">
        <v>1028</v>
      </c>
      <c r="D361" s="263" t="s">
        <v>979</v>
      </c>
      <c r="E361" s="264">
        <v>5</v>
      </c>
      <c r="F361" s="269">
        <v>201</v>
      </c>
      <c r="G361" s="261" t="s">
        <v>872</v>
      </c>
      <c r="H361" s="262"/>
      <c r="I361" s="262"/>
      <c r="J361" s="265">
        <v>218321</v>
      </c>
      <c r="K361" s="261" t="s">
        <v>1043</v>
      </c>
      <c r="L361" s="266">
        <v>15</v>
      </c>
      <c r="M361" s="266">
        <v>15</v>
      </c>
      <c r="N361" s="267">
        <v>11610</v>
      </c>
      <c r="O361" s="268">
        <v>45658</v>
      </c>
      <c r="P361" s="268">
        <v>45666</v>
      </c>
      <c r="Q361" s="262"/>
    </row>
    <row r="362" spans="1:17" ht="14.1" customHeight="1">
      <c r="A362" s="261" t="s">
        <v>1046</v>
      </c>
      <c r="B362" s="262"/>
      <c r="C362" s="263" t="s">
        <v>1047</v>
      </c>
      <c r="D362" s="263" t="s">
        <v>1048</v>
      </c>
      <c r="E362" s="264">
        <v>0</v>
      </c>
      <c r="F362" s="269">
        <v>201</v>
      </c>
      <c r="G362" s="261" t="s">
        <v>872</v>
      </c>
      <c r="H362" s="262"/>
      <c r="I362" s="262"/>
      <c r="J362" s="265">
        <v>218321</v>
      </c>
      <c r="K362" s="261" t="s">
        <v>1043</v>
      </c>
      <c r="L362" s="266">
        <v>15</v>
      </c>
      <c r="M362" s="266">
        <v>15</v>
      </c>
      <c r="N362" s="267">
        <v>11619</v>
      </c>
      <c r="O362" s="268">
        <v>45658</v>
      </c>
      <c r="P362" s="262"/>
      <c r="Q362" s="262"/>
    </row>
    <row r="363" spans="1:17" ht="14.1" customHeight="1">
      <c r="A363" s="261" t="s">
        <v>1049</v>
      </c>
      <c r="B363" s="262"/>
      <c r="C363" s="263" t="s">
        <v>807</v>
      </c>
      <c r="D363" s="263" t="s">
        <v>954</v>
      </c>
      <c r="E363" s="264">
        <v>0</v>
      </c>
      <c r="F363" s="264">
        <v>6001</v>
      </c>
      <c r="G363" s="261" t="s">
        <v>612</v>
      </c>
      <c r="H363" s="262"/>
      <c r="I363" s="262"/>
      <c r="J363" s="265">
        <v>218321</v>
      </c>
      <c r="K363" s="261" t="s">
        <v>1043</v>
      </c>
      <c r="L363" s="266">
        <v>3</v>
      </c>
      <c r="M363" s="266">
        <v>3</v>
      </c>
      <c r="N363" s="267">
        <v>3778.16</v>
      </c>
      <c r="O363" s="268">
        <v>45658</v>
      </c>
      <c r="P363" s="268">
        <v>45723</v>
      </c>
      <c r="Q363" s="262"/>
    </row>
    <row r="364" spans="1:17" ht="14.1" customHeight="1">
      <c r="A364" s="261" t="s">
        <v>1050</v>
      </c>
      <c r="B364" s="262"/>
      <c r="C364" s="263" t="s">
        <v>807</v>
      </c>
      <c r="D364" s="263" t="s">
        <v>954</v>
      </c>
      <c r="E364" s="264">
        <v>0</v>
      </c>
      <c r="F364" s="264">
        <v>6001</v>
      </c>
      <c r="G364" s="261" t="s">
        <v>612</v>
      </c>
      <c r="H364" s="262"/>
      <c r="I364" s="262"/>
      <c r="J364" s="265">
        <v>218321</v>
      </c>
      <c r="K364" s="261" t="s">
        <v>1043</v>
      </c>
      <c r="L364" s="266">
        <v>5</v>
      </c>
      <c r="M364" s="266">
        <v>5</v>
      </c>
      <c r="N364" s="267">
        <v>9274.92</v>
      </c>
      <c r="O364" s="268">
        <v>45658</v>
      </c>
      <c r="P364" s="268">
        <v>45723</v>
      </c>
      <c r="Q364" s="262"/>
    </row>
    <row r="365" spans="1:17" ht="14.1" customHeight="1">
      <c r="A365" s="261" t="s">
        <v>1051</v>
      </c>
      <c r="B365" s="262"/>
      <c r="C365" s="263" t="s">
        <v>807</v>
      </c>
      <c r="D365" s="263" t="s">
        <v>954</v>
      </c>
      <c r="E365" s="264">
        <v>0</v>
      </c>
      <c r="F365" s="264">
        <v>6001</v>
      </c>
      <c r="G365" s="261" t="s">
        <v>612</v>
      </c>
      <c r="H365" s="262"/>
      <c r="I365" s="262"/>
      <c r="J365" s="265">
        <v>218321</v>
      </c>
      <c r="K365" s="261" t="s">
        <v>1043</v>
      </c>
      <c r="L365" s="266">
        <v>10</v>
      </c>
      <c r="M365" s="266">
        <v>10</v>
      </c>
      <c r="N365" s="267">
        <v>2771.64</v>
      </c>
      <c r="O365" s="268">
        <v>45658</v>
      </c>
      <c r="P365" s="268">
        <v>45723</v>
      </c>
      <c r="Q365" s="262"/>
    </row>
    <row r="366" spans="1:17" ht="14.1" customHeight="1">
      <c r="A366" s="261" t="s">
        <v>1052</v>
      </c>
      <c r="B366" s="262"/>
      <c r="C366" s="263" t="s">
        <v>807</v>
      </c>
      <c r="D366" s="263" t="s">
        <v>954</v>
      </c>
      <c r="E366" s="264">
        <v>0</v>
      </c>
      <c r="F366" s="264">
        <v>6001</v>
      </c>
      <c r="G366" s="261" t="s">
        <v>612</v>
      </c>
      <c r="H366" s="262"/>
      <c r="I366" s="262"/>
      <c r="J366" s="265">
        <v>218321</v>
      </c>
      <c r="K366" s="261" t="s">
        <v>1043</v>
      </c>
      <c r="L366" s="266">
        <v>8</v>
      </c>
      <c r="M366" s="266">
        <v>8</v>
      </c>
      <c r="N366" s="267">
        <v>1177.54</v>
      </c>
      <c r="O366" s="268">
        <v>45658</v>
      </c>
      <c r="P366" s="268">
        <v>45723</v>
      </c>
      <c r="Q366" s="262"/>
    </row>
    <row r="367" spans="1:17" ht="14.1" customHeight="1">
      <c r="A367" s="261" t="s">
        <v>1053</v>
      </c>
      <c r="B367" s="262"/>
      <c r="C367" s="263" t="s">
        <v>972</v>
      </c>
      <c r="D367" s="264">
        <v>250000</v>
      </c>
      <c r="E367" s="264">
        <v>0</v>
      </c>
      <c r="F367" s="264">
        <v>1903</v>
      </c>
      <c r="G367" s="261" t="s">
        <v>957</v>
      </c>
      <c r="H367" s="262"/>
      <c r="I367" s="262"/>
      <c r="J367" s="265">
        <v>213518</v>
      </c>
      <c r="K367" s="261" t="s">
        <v>1054</v>
      </c>
      <c r="L367" s="266">
        <v>1</v>
      </c>
      <c r="M367" s="266">
        <v>1</v>
      </c>
      <c r="N367" s="267">
        <v>51960</v>
      </c>
      <c r="O367" s="268">
        <v>45658</v>
      </c>
      <c r="P367" s="262"/>
      <c r="Q367" s="262"/>
    </row>
    <row r="368" spans="1:17" ht="14.1" customHeight="1">
      <c r="A368" s="261" t="s">
        <v>1055</v>
      </c>
      <c r="B368" s="262"/>
      <c r="C368" s="263" t="s">
        <v>733</v>
      </c>
      <c r="D368" s="263" t="s">
        <v>855</v>
      </c>
      <c r="E368" s="264">
        <v>0</v>
      </c>
      <c r="F368" s="269">
        <v>201</v>
      </c>
      <c r="G368" s="261" t="s">
        <v>872</v>
      </c>
      <c r="H368" s="262"/>
      <c r="I368" s="262"/>
      <c r="J368" s="265">
        <v>218321</v>
      </c>
      <c r="K368" s="275">
        <v>38.011000000000003</v>
      </c>
      <c r="L368" s="266">
        <v>1</v>
      </c>
      <c r="M368" s="266">
        <v>1</v>
      </c>
      <c r="N368" s="267">
        <v>5351.74</v>
      </c>
      <c r="O368" s="268">
        <v>45658</v>
      </c>
      <c r="P368" s="262"/>
      <c r="Q368" s="262"/>
    </row>
    <row r="369" spans="1:17" ht="14.1" customHeight="1">
      <c r="A369" s="261" t="s">
        <v>1056</v>
      </c>
      <c r="B369" s="262"/>
      <c r="C369" s="263" t="s">
        <v>984</v>
      </c>
      <c r="D369" s="263" t="s">
        <v>985</v>
      </c>
      <c r="E369" s="264">
        <v>3</v>
      </c>
      <c r="F369" s="264">
        <v>1903</v>
      </c>
      <c r="G369" s="261" t="s">
        <v>957</v>
      </c>
      <c r="H369" s="262"/>
      <c r="I369" s="262"/>
      <c r="J369" s="265">
        <v>213512</v>
      </c>
      <c r="K369" s="261" t="s">
        <v>986</v>
      </c>
      <c r="L369" s="266">
        <v>1</v>
      </c>
      <c r="M369" s="266">
        <v>1</v>
      </c>
      <c r="N369" s="267">
        <v>12544.9</v>
      </c>
      <c r="O369" s="268">
        <v>45658</v>
      </c>
      <c r="P369" s="262"/>
      <c r="Q369" s="262"/>
    </row>
    <row r="370" spans="1:17" ht="14.1" customHeight="1">
      <c r="A370" s="261" t="s">
        <v>1057</v>
      </c>
      <c r="B370" s="262"/>
      <c r="C370" s="263" t="s">
        <v>984</v>
      </c>
      <c r="D370" s="264">
        <v>250000</v>
      </c>
      <c r="E370" s="264">
        <v>0</v>
      </c>
      <c r="F370" s="264">
        <v>1903</v>
      </c>
      <c r="G370" s="261" t="s">
        <v>957</v>
      </c>
      <c r="H370" s="262"/>
      <c r="I370" s="262"/>
      <c r="J370" s="265">
        <v>213512</v>
      </c>
      <c r="K370" s="261" t="s">
        <v>986</v>
      </c>
      <c r="L370" s="266">
        <v>1</v>
      </c>
      <c r="M370" s="266">
        <v>1</v>
      </c>
      <c r="N370" s="267">
        <v>3959.3</v>
      </c>
      <c r="O370" s="268">
        <v>45658</v>
      </c>
      <c r="P370" s="262"/>
      <c r="Q370" s="262"/>
    </row>
    <row r="371" spans="1:17" ht="14.1" customHeight="1">
      <c r="A371" s="261" t="s">
        <v>1058</v>
      </c>
      <c r="B371" s="262"/>
      <c r="C371" s="263" t="s">
        <v>1028</v>
      </c>
      <c r="D371" s="263" t="s">
        <v>979</v>
      </c>
      <c r="E371" s="264">
        <v>5</v>
      </c>
      <c r="F371" s="269">
        <v>201</v>
      </c>
      <c r="G371" s="261" t="s">
        <v>612</v>
      </c>
      <c r="H371" s="262"/>
      <c r="I371" s="262"/>
      <c r="J371" s="265">
        <v>218321</v>
      </c>
      <c r="K371" s="270">
        <v>3601</v>
      </c>
      <c r="L371" s="266">
        <v>10</v>
      </c>
      <c r="M371" s="266">
        <v>10</v>
      </c>
      <c r="N371" s="267">
        <v>11023.92</v>
      </c>
      <c r="O371" s="268">
        <v>45658</v>
      </c>
      <c r="P371" s="268">
        <v>45659</v>
      </c>
      <c r="Q371" s="262"/>
    </row>
    <row r="372" spans="1:17" ht="14.1" customHeight="1">
      <c r="A372" s="261" t="s">
        <v>1059</v>
      </c>
      <c r="B372" s="262"/>
      <c r="C372" s="263" t="s">
        <v>733</v>
      </c>
      <c r="D372" s="263" t="s">
        <v>855</v>
      </c>
      <c r="E372" s="264">
        <v>0</v>
      </c>
      <c r="F372" s="269">
        <v>201</v>
      </c>
      <c r="G372" s="261" t="s">
        <v>872</v>
      </c>
      <c r="H372" s="262"/>
      <c r="I372" s="262"/>
      <c r="J372" s="265">
        <v>2051</v>
      </c>
      <c r="K372" s="270">
        <v>67056</v>
      </c>
      <c r="L372" s="266">
        <v>1</v>
      </c>
      <c r="M372" s="266">
        <v>1</v>
      </c>
      <c r="N372" s="267">
        <v>2339.08</v>
      </c>
      <c r="O372" s="268">
        <v>45658</v>
      </c>
      <c r="P372" s="262"/>
      <c r="Q372" s="262"/>
    </row>
    <row r="373" spans="1:17" ht="14.1" customHeight="1">
      <c r="A373" s="261" t="s">
        <v>1060</v>
      </c>
      <c r="B373" s="262"/>
      <c r="C373" s="263" t="s">
        <v>1061</v>
      </c>
      <c r="D373" s="264">
        <v>250000</v>
      </c>
      <c r="E373" s="264">
        <v>0</v>
      </c>
      <c r="F373" s="264">
        <v>8503</v>
      </c>
      <c r="G373" s="261" t="s">
        <v>957</v>
      </c>
      <c r="H373" s="262"/>
      <c r="I373" s="262"/>
      <c r="J373" s="265">
        <v>218411</v>
      </c>
      <c r="K373" s="270">
        <v>2507</v>
      </c>
      <c r="L373" s="266">
        <v>50</v>
      </c>
      <c r="M373" s="266">
        <v>50</v>
      </c>
      <c r="N373" s="267">
        <v>2790</v>
      </c>
      <c r="O373" s="268">
        <v>45658</v>
      </c>
      <c r="P373" s="268">
        <v>45728</v>
      </c>
      <c r="Q373" s="262"/>
    </row>
    <row r="374" spans="1:17" ht="14.1" customHeight="1">
      <c r="A374" s="261" t="s">
        <v>1062</v>
      </c>
      <c r="B374" s="262"/>
      <c r="C374" s="263" t="s">
        <v>807</v>
      </c>
      <c r="D374" s="263" t="s">
        <v>954</v>
      </c>
      <c r="E374" s="264">
        <v>0</v>
      </c>
      <c r="F374" s="269">
        <v>201</v>
      </c>
      <c r="G374" s="261" t="s">
        <v>612</v>
      </c>
      <c r="H374" s="262"/>
      <c r="I374" s="262"/>
      <c r="J374" s="265">
        <v>218321</v>
      </c>
      <c r="K374" s="261" t="s">
        <v>1043</v>
      </c>
      <c r="L374" s="266">
        <v>1</v>
      </c>
      <c r="M374" s="266">
        <v>1</v>
      </c>
      <c r="N374" s="267">
        <v>1492.88</v>
      </c>
      <c r="O374" s="268">
        <v>45658</v>
      </c>
      <c r="P374" s="262"/>
      <c r="Q374" s="262"/>
    </row>
    <row r="375" spans="1:17" ht="14.1" customHeight="1">
      <c r="A375" s="261" t="s">
        <v>1063</v>
      </c>
      <c r="B375" s="262"/>
      <c r="C375" s="263" t="s">
        <v>807</v>
      </c>
      <c r="D375" s="263" t="s">
        <v>954</v>
      </c>
      <c r="E375" s="264">
        <v>0</v>
      </c>
      <c r="F375" s="269">
        <v>201</v>
      </c>
      <c r="G375" s="261" t="s">
        <v>612</v>
      </c>
      <c r="H375" s="262"/>
      <c r="I375" s="262"/>
      <c r="J375" s="265">
        <v>218321</v>
      </c>
      <c r="K375" s="261" t="s">
        <v>1043</v>
      </c>
      <c r="L375" s="266">
        <v>1</v>
      </c>
      <c r="M375" s="266">
        <v>1</v>
      </c>
      <c r="N375" s="267">
        <v>1613.66</v>
      </c>
      <c r="O375" s="268">
        <v>45658</v>
      </c>
      <c r="P375" s="262"/>
      <c r="Q375" s="262"/>
    </row>
    <row r="376" spans="1:17" ht="14.1" customHeight="1">
      <c r="A376" s="261" t="s">
        <v>1064</v>
      </c>
      <c r="B376" s="262"/>
      <c r="C376" s="263" t="s">
        <v>807</v>
      </c>
      <c r="D376" s="263" t="s">
        <v>954</v>
      </c>
      <c r="E376" s="264">
        <v>0</v>
      </c>
      <c r="F376" s="269">
        <v>201</v>
      </c>
      <c r="G376" s="261" t="s">
        <v>612</v>
      </c>
      <c r="H376" s="262"/>
      <c r="I376" s="262"/>
      <c r="J376" s="265">
        <v>218321</v>
      </c>
      <c r="K376" s="261" t="s">
        <v>1043</v>
      </c>
      <c r="L376" s="266">
        <v>1</v>
      </c>
      <c r="M376" s="266">
        <v>1</v>
      </c>
      <c r="N376" s="271">
        <v>882.79</v>
      </c>
      <c r="O376" s="268">
        <v>45658</v>
      </c>
      <c r="P376" s="262"/>
      <c r="Q376" s="262"/>
    </row>
    <row r="377" spans="1:17" ht="14.1" customHeight="1">
      <c r="A377" s="261" t="s">
        <v>1065</v>
      </c>
      <c r="B377" s="262"/>
      <c r="C377" s="263" t="s">
        <v>807</v>
      </c>
      <c r="D377" s="263" t="s">
        <v>954</v>
      </c>
      <c r="E377" s="264">
        <v>0</v>
      </c>
      <c r="F377" s="269">
        <v>201</v>
      </c>
      <c r="G377" s="261" t="s">
        <v>612</v>
      </c>
      <c r="H377" s="262"/>
      <c r="I377" s="262"/>
      <c r="J377" s="265">
        <v>218321</v>
      </c>
      <c r="K377" s="261" t="s">
        <v>1043</v>
      </c>
      <c r="L377" s="266">
        <v>1</v>
      </c>
      <c r="M377" s="266">
        <v>1</v>
      </c>
      <c r="N377" s="271">
        <v>678.7</v>
      </c>
      <c r="O377" s="268">
        <v>45658</v>
      </c>
      <c r="P377" s="262"/>
      <c r="Q377" s="262"/>
    </row>
    <row r="378" spans="1:17" ht="14.1" customHeight="1">
      <c r="A378" s="261" t="s">
        <v>1066</v>
      </c>
      <c r="B378" s="262"/>
      <c r="C378" s="263" t="s">
        <v>807</v>
      </c>
      <c r="D378" s="263" t="s">
        <v>954</v>
      </c>
      <c r="E378" s="264">
        <v>0</v>
      </c>
      <c r="F378" s="269">
        <v>201</v>
      </c>
      <c r="G378" s="261" t="s">
        <v>612</v>
      </c>
      <c r="H378" s="262"/>
      <c r="I378" s="262"/>
      <c r="J378" s="265">
        <v>218321</v>
      </c>
      <c r="K378" s="261" t="s">
        <v>1043</v>
      </c>
      <c r="L378" s="266">
        <v>1</v>
      </c>
      <c r="M378" s="266">
        <v>1</v>
      </c>
      <c r="N378" s="267">
        <v>1897.51</v>
      </c>
      <c r="O378" s="268">
        <v>45658</v>
      </c>
      <c r="P378" s="262"/>
      <c r="Q378" s="262"/>
    </row>
    <row r="379" spans="1:17" ht="14.1" customHeight="1">
      <c r="A379" s="261" t="s">
        <v>1067</v>
      </c>
      <c r="B379" s="262"/>
      <c r="C379" s="263" t="s">
        <v>807</v>
      </c>
      <c r="D379" s="263" t="s">
        <v>954</v>
      </c>
      <c r="E379" s="264">
        <v>0</v>
      </c>
      <c r="F379" s="269">
        <v>201</v>
      </c>
      <c r="G379" s="261" t="s">
        <v>612</v>
      </c>
      <c r="H379" s="262"/>
      <c r="I379" s="262"/>
      <c r="J379" s="265">
        <v>218321</v>
      </c>
      <c r="K379" s="261" t="s">
        <v>1043</v>
      </c>
      <c r="L379" s="266">
        <v>1</v>
      </c>
      <c r="M379" s="266">
        <v>1</v>
      </c>
      <c r="N379" s="267">
        <v>1613.66</v>
      </c>
      <c r="O379" s="268">
        <v>45658</v>
      </c>
      <c r="P379" s="262"/>
      <c r="Q379" s="262"/>
    </row>
    <row r="380" spans="1:17" ht="14.1" customHeight="1">
      <c r="A380" s="261" t="s">
        <v>1068</v>
      </c>
      <c r="B380" s="262"/>
      <c r="C380" s="263" t="s">
        <v>807</v>
      </c>
      <c r="D380" s="263" t="s">
        <v>954</v>
      </c>
      <c r="E380" s="264">
        <v>0</v>
      </c>
      <c r="F380" s="269">
        <v>201</v>
      </c>
      <c r="G380" s="261" t="s">
        <v>612</v>
      </c>
      <c r="H380" s="262"/>
      <c r="I380" s="262"/>
      <c r="J380" s="265">
        <v>218321</v>
      </c>
      <c r="K380" s="261" t="s">
        <v>1043</v>
      </c>
      <c r="L380" s="266">
        <v>1</v>
      </c>
      <c r="M380" s="266">
        <v>1</v>
      </c>
      <c r="N380" s="267">
        <v>1203.43</v>
      </c>
      <c r="O380" s="268">
        <v>45658</v>
      </c>
      <c r="P380" s="262"/>
      <c r="Q380" s="262"/>
    </row>
    <row r="381" spans="1:17" ht="14.1" customHeight="1">
      <c r="A381" s="261" t="s">
        <v>1069</v>
      </c>
      <c r="B381" s="262"/>
      <c r="C381" s="263" t="s">
        <v>807</v>
      </c>
      <c r="D381" s="263" t="s">
        <v>954</v>
      </c>
      <c r="E381" s="264">
        <v>0</v>
      </c>
      <c r="F381" s="269">
        <v>201</v>
      </c>
      <c r="G381" s="261" t="s">
        <v>612</v>
      </c>
      <c r="H381" s="262"/>
      <c r="I381" s="262"/>
      <c r="J381" s="265">
        <v>218321</v>
      </c>
      <c r="K381" s="261" t="s">
        <v>1043</v>
      </c>
      <c r="L381" s="266">
        <v>1</v>
      </c>
      <c r="M381" s="266">
        <v>1</v>
      </c>
      <c r="N381" s="271">
        <v>713.53</v>
      </c>
      <c r="O381" s="268">
        <v>45658</v>
      </c>
      <c r="P381" s="262"/>
      <c r="Q381" s="262"/>
    </row>
    <row r="382" spans="1:17" ht="14.1" customHeight="1">
      <c r="A382" s="261" t="s">
        <v>1070</v>
      </c>
      <c r="B382" s="262"/>
      <c r="C382" s="263" t="s">
        <v>807</v>
      </c>
      <c r="D382" s="263" t="s">
        <v>954</v>
      </c>
      <c r="E382" s="264">
        <v>0</v>
      </c>
      <c r="F382" s="269">
        <v>201</v>
      </c>
      <c r="G382" s="261" t="s">
        <v>612</v>
      </c>
      <c r="H382" s="262"/>
      <c r="I382" s="262"/>
      <c r="J382" s="265">
        <v>218321</v>
      </c>
      <c r="K382" s="261" t="s">
        <v>1043</v>
      </c>
      <c r="L382" s="266">
        <v>1</v>
      </c>
      <c r="M382" s="266">
        <v>1</v>
      </c>
      <c r="N382" s="271">
        <v>634.66</v>
      </c>
      <c r="O382" s="268">
        <v>45658</v>
      </c>
      <c r="P382" s="262"/>
      <c r="Q382" s="262"/>
    </row>
    <row r="383" spans="1:17" ht="14.1" customHeight="1">
      <c r="A383" s="261" t="s">
        <v>1071</v>
      </c>
      <c r="B383" s="262"/>
      <c r="C383" s="263" t="s">
        <v>807</v>
      </c>
      <c r="D383" s="263" t="s">
        <v>954</v>
      </c>
      <c r="E383" s="264">
        <v>0</v>
      </c>
      <c r="F383" s="269">
        <v>201</v>
      </c>
      <c r="G383" s="261" t="s">
        <v>612</v>
      </c>
      <c r="H383" s="262"/>
      <c r="I383" s="262"/>
      <c r="J383" s="265">
        <v>218321</v>
      </c>
      <c r="K383" s="261" t="s">
        <v>1043</v>
      </c>
      <c r="L383" s="266">
        <v>3</v>
      </c>
      <c r="M383" s="266">
        <v>3</v>
      </c>
      <c r="N383" s="271">
        <v>907.45</v>
      </c>
      <c r="O383" s="268">
        <v>45658</v>
      </c>
      <c r="P383" s="268">
        <v>45667</v>
      </c>
      <c r="Q383" s="262"/>
    </row>
    <row r="384" spans="1:17" ht="14.1" customHeight="1">
      <c r="A384" s="261" t="s">
        <v>1072</v>
      </c>
      <c r="B384" s="262"/>
      <c r="C384" s="263" t="s">
        <v>807</v>
      </c>
      <c r="D384" s="263" t="s">
        <v>954</v>
      </c>
      <c r="E384" s="264">
        <v>0</v>
      </c>
      <c r="F384" s="269">
        <v>201</v>
      </c>
      <c r="G384" s="261" t="s">
        <v>612</v>
      </c>
      <c r="H384" s="262"/>
      <c r="I384" s="262"/>
      <c r="J384" s="265">
        <v>218321</v>
      </c>
      <c r="K384" s="261" t="s">
        <v>1043</v>
      </c>
      <c r="L384" s="266">
        <v>3</v>
      </c>
      <c r="M384" s="266">
        <v>3</v>
      </c>
      <c r="N384" s="267">
        <v>4816.7299999999996</v>
      </c>
      <c r="O384" s="268">
        <v>45658</v>
      </c>
      <c r="P384" s="268">
        <v>45667</v>
      </c>
      <c r="Q384" s="262"/>
    </row>
    <row r="385" spans="1:17" ht="14.1" customHeight="1">
      <c r="A385" s="261" t="s">
        <v>1073</v>
      </c>
      <c r="B385" s="262"/>
      <c r="C385" s="263" t="s">
        <v>978</v>
      </c>
      <c r="D385" s="263" t="s">
        <v>1042</v>
      </c>
      <c r="E385" s="264">
        <v>0</v>
      </c>
      <c r="F385" s="264">
        <v>2501</v>
      </c>
      <c r="G385" s="261" t="s">
        <v>612</v>
      </c>
      <c r="H385" s="262"/>
      <c r="I385" s="262"/>
      <c r="J385" s="265">
        <v>218321</v>
      </c>
      <c r="K385" s="261" t="s">
        <v>1043</v>
      </c>
      <c r="L385" s="266">
        <v>12</v>
      </c>
      <c r="M385" s="266">
        <v>12</v>
      </c>
      <c r="N385" s="271">
        <v>713.52</v>
      </c>
      <c r="O385" s="268">
        <v>45658</v>
      </c>
      <c r="P385" s="268">
        <v>45663</v>
      </c>
      <c r="Q385" s="262"/>
    </row>
    <row r="386" spans="1:17" ht="14.1" customHeight="1">
      <c r="A386" s="261" t="s">
        <v>1074</v>
      </c>
      <c r="B386" s="262"/>
      <c r="C386" s="263" t="s">
        <v>1075</v>
      </c>
      <c r="D386" s="263" t="s">
        <v>1076</v>
      </c>
      <c r="E386" s="264">
        <v>0</v>
      </c>
      <c r="F386" s="269">
        <v>201</v>
      </c>
      <c r="G386" s="261" t="s">
        <v>872</v>
      </c>
      <c r="H386" s="262"/>
      <c r="I386" s="262"/>
      <c r="J386" s="265">
        <v>218321</v>
      </c>
      <c r="K386" s="261" t="s">
        <v>1043</v>
      </c>
      <c r="L386" s="266">
        <v>1</v>
      </c>
      <c r="M386" s="266">
        <v>1</v>
      </c>
      <c r="N386" s="267">
        <v>52006.68</v>
      </c>
      <c r="O386" s="268">
        <v>45658</v>
      </c>
      <c r="P386" s="268">
        <v>45659</v>
      </c>
      <c r="Q386" s="264">
        <v>647118</v>
      </c>
    </row>
    <row r="387" spans="1:17" ht="14.1" customHeight="1">
      <c r="A387" s="261" t="s">
        <v>1077</v>
      </c>
      <c r="B387" s="262"/>
      <c r="C387" s="263" t="s">
        <v>1075</v>
      </c>
      <c r="D387" s="263" t="s">
        <v>1076</v>
      </c>
      <c r="E387" s="264">
        <v>0</v>
      </c>
      <c r="F387" s="269">
        <v>201</v>
      </c>
      <c r="G387" s="261" t="s">
        <v>872</v>
      </c>
      <c r="H387" s="262"/>
      <c r="I387" s="262"/>
      <c r="J387" s="265">
        <v>218321</v>
      </c>
      <c r="K387" s="261" t="s">
        <v>1078</v>
      </c>
      <c r="L387" s="266">
        <v>1</v>
      </c>
      <c r="M387" s="266">
        <v>1</v>
      </c>
      <c r="N387" s="267">
        <v>7861.68</v>
      </c>
      <c r="O387" s="268">
        <v>45658</v>
      </c>
      <c r="P387" s="262"/>
      <c r="Q387" s="262"/>
    </row>
    <row r="388" spans="1:17" ht="14.1" customHeight="1">
      <c r="A388" s="261" t="s">
        <v>1079</v>
      </c>
      <c r="B388" s="262"/>
      <c r="C388" s="263" t="s">
        <v>1080</v>
      </c>
      <c r="D388" s="264">
        <v>250000</v>
      </c>
      <c r="E388" s="264">
        <v>0</v>
      </c>
      <c r="F388" s="264">
        <v>1903</v>
      </c>
      <c r="G388" s="261" t="s">
        <v>612</v>
      </c>
      <c r="H388" s="262"/>
      <c r="I388" s="262"/>
      <c r="J388" s="265">
        <v>213518</v>
      </c>
      <c r="K388" s="270">
        <v>31018</v>
      </c>
      <c r="L388" s="266">
        <v>1</v>
      </c>
      <c r="M388" s="266">
        <v>1</v>
      </c>
      <c r="N388" s="271">
        <v>0</v>
      </c>
      <c r="O388" s="268">
        <v>45658</v>
      </c>
      <c r="P388" s="262"/>
      <c r="Q388" s="262"/>
    </row>
    <row r="389" spans="1:17" ht="14.1" customHeight="1">
      <c r="A389" s="261" t="s">
        <v>1081</v>
      </c>
      <c r="B389" s="262"/>
      <c r="C389" s="263" t="s">
        <v>1082</v>
      </c>
      <c r="D389" s="264">
        <v>250000</v>
      </c>
      <c r="E389" s="264">
        <v>0</v>
      </c>
      <c r="F389" s="264">
        <v>2201</v>
      </c>
      <c r="G389" s="261" t="s">
        <v>872</v>
      </c>
      <c r="H389" s="262"/>
      <c r="I389" s="262"/>
      <c r="J389" s="265">
        <v>2051</v>
      </c>
      <c r="K389" s="261" t="s">
        <v>1078</v>
      </c>
      <c r="L389" s="266">
        <v>1</v>
      </c>
      <c r="M389" s="266">
        <v>1</v>
      </c>
      <c r="N389" s="267">
        <v>6240</v>
      </c>
      <c r="O389" s="268">
        <v>45658</v>
      </c>
      <c r="P389" s="262"/>
      <c r="Q389" s="262"/>
    </row>
    <row r="390" spans="1:17" ht="14.1" customHeight="1">
      <c r="A390" s="261" t="s">
        <v>1083</v>
      </c>
      <c r="B390" s="262"/>
      <c r="C390" s="263" t="s">
        <v>1082</v>
      </c>
      <c r="D390" s="264">
        <v>250000</v>
      </c>
      <c r="E390" s="264">
        <v>0</v>
      </c>
      <c r="F390" s="264">
        <v>2201</v>
      </c>
      <c r="G390" s="261" t="s">
        <v>872</v>
      </c>
      <c r="H390" s="262"/>
      <c r="I390" s="262"/>
      <c r="J390" s="265">
        <v>2051</v>
      </c>
      <c r="K390" s="261" t="s">
        <v>1078</v>
      </c>
      <c r="L390" s="266">
        <v>1</v>
      </c>
      <c r="M390" s="266">
        <v>1</v>
      </c>
      <c r="N390" s="267">
        <v>2376</v>
      </c>
      <c r="O390" s="268">
        <v>45658</v>
      </c>
      <c r="P390" s="262"/>
      <c r="Q390" s="262"/>
    </row>
    <row r="391" spans="1:17" ht="14.1" customHeight="1">
      <c r="A391" s="261" t="s">
        <v>1084</v>
      </c>
      <c r="B391" s="262"/>
      <c r="C391" s="263" t="s">
        <v>1082</v>
      </c>
      <c r="D391" s="264">
        <v>250000</v>
      </c>
      <c r="E391" s="264">
        <v>0</v>
      </c>
      <c r="F391" s="264">
        <v>2201</v>
      </c>
      <c r="G391" s="261" t="s">
        <v>872</v>
      </c>
      <c r="H391" s="262"/>
      <c r="I391" s="262"/>
      <c r="J391" s="265">
        <v>2051</v>
      </c>
      <c r="K391" s="261" t="s">
        <v>1078</v>
      </c>
      <c r="L391" s="266">
        <v>1</v>
      </c>
      <c r="M391" s="266">
        <v>1</v>
      </c>
      <c r="N391" s="267">
        <v>2772</v>
      </c>
      <c r="O391" s="268">
        <v>45658</v>
      </c>
      <c r="P391" s="262"/>
      <c r="Q391" s="262"/>
    </row>
    <row r="392" spans="1:17" ht="14.1" customHeight="1">
      <c r="A392" s="261" t="s">
        <v>1085</v>
      </c>
      <c r="B392" s="262"/>
      <c r="C392" s="263" t="s">
        <v>1082</v>
      </c>
      <c r="D392" s="264">
        <v>250000</v>
      </c>
      <c r="E392" s="264">
        <v>0</v>
      </c>
      <c r="F392" s="264">
        <v>2201</v>
      </c>
      <c r="G392" s="261" t="s">
        <v>872</v>
      </c>
      <c r="H392" s="262"/>
      <c r="I392" s="262"/>
      <c r="J392" s="265">
        <v>2051</v>
      </c>
      <c r="K392" s="261" t="s">
        <v>1078</v>
      </c>
      <c r="L392" s="266">
        <v>2</v>
      </c>
      <c r="M392" s="266">
        <v>2</v>
      </c>
      <c r="N392" s="267">
        <v>2760</v>
      </c>
      <c r="O392" s="268">
        <v>45658</v>
      </c>
      <c r="P392" s="262"/>
      <c r="Q392" s="262"/>
    </row>
    <row r="393" spans="1:17" ht="14.1" customHeight="1">
      <c r="A393" s="261" t="s">
        <v>1086</v>
      </c>
      <c r="B393" s="262"/>
      <c r="C393" s="263" t="s">
        <v>1082</v>
      </c>
      <c r="D393" s="264">
        <v>250000</v>
      </c>
      <c r="E393" s="264">
        <v>0</v>
      </c>
      <c r="F393" s="264">
        <v>2201</v>
      </c>
      <c r="G393" s="261" t="s">
        <v>872</v>
      </c>
      <c r="H393" s="262"/>
      <c r="I393" s="262"/>
      <c r="J393" s="265">
        <v>2051</v>
      </c>
      <c r="K393" s="261" t="s">
        <v>1078</v>
      </c>
      <c r="L393" s="266">
        <v>2</v>
      </c>
      <c r="M393" s="266">
        <v>2</v>
      </c>
      <c r="N393" s="267">
        <v>2760</v>
      </c>
      <c r="O393" s="268">
        <v>45658</v>
      </c>
      <c r="P393" s="262"/>
      <c r="Q393" s="262"/>
    </row>
    <row r="394" spans="1:17" ht="14.1" customHeight="1">
      <c r="A394" s="261" t="s">
        <v>1087</v>
      </c>
      <c r="B394" s="262"/>
      <c r="C394" s="263" t="s">
        <v>1082</v>
      </c>
      <c r="D394" s="264">
        <v>250000</v>
      </c>
      <c r="E394" s="264">
        <v>0</v>
      </c>
      <c r="F394" s="264">
        <v>2201</v>
      </c>
      <c r="G394" s="261" t="s">
        <v>872</v>
      </c>
      <c r="H394" s="262"/>
      <c r="I394" s="262"/>
      <c r="J394" s="265">
        <v>2051</v>
      </c>
      <c r="K394" s="261" t="s">
        <v>1078</v>
      </c>
      <c r="L394" s="266">
        <v>2</v>
      </c>
      <c r="M394" s="266">
        <v>2</v>
      </c>
      <c r="N394" s="267">
        <v>2280</v>
      </c>
      <c r="O394" s="268">
        <v>45658</v>
      </c>
      <c r="P394" s="262"/>
      <c r="Q394" s="262"/>
    </row>
    <row r="395" spans="1:17" ht="14.1" customHeight="1">
      <c r="A395" s="261" t="s">
        <v>1088</v>
      </c>
      <c r="B395" s="262"/>
      <c r="C395" s="263" t="s">
        <v>1089</v>
      </c>
      <c r="D395" s="263" t="s">
        <v>985</v>
      </c>
      <c r="E395" s="264">
        <v>1</v>
      </c>
      <c r="F395" s="264">
        <v>1903</v>
      </c>
      <c r="G395" s="261" t="s">
        <v>957</v>
      </c>
      <c r="H395" s="262"/>
      <c r="I395" s="262"/>
      <c r="J395" s="265">
        <v>213518</v>
      </c>
      <c r="K395" s="270">
        <v>31016</v>
      </c>
      <c r="L395" s="266">
        <v>1</v>
      </c>
      <c r="M395" s="266">
        <v>1</v>
      </c>
      <c r="N395" s="267">
        <v>6912.42</v>
      </c>
      <c r="O395" s="268">
        <v>45658</v>
      </c>
      <c r="P395" s="262"/>
      <c r="Q395" s="262"/>
    </row>
    <row r="396" spans="1:17" ht="14.1" customHeight="1">
      <c r="A396" s="261" t="s">
        <v>1090</v>
      </c>
      <c r="B396" s="262"/>
      <c r="C396" s="263" t="s">
        <v>1089</v>
      </c>
      <c r="D396" s="263" t="s">
        <v>985</v>
      </c>
      <c r="E396" s="264">
        <v>2</v>
      </c>
      <c r="F396" s="264">
        <v>1903</v>
      </c>
      <c r="G396" s="261" t="s">
        <v>957</v>
      </c>
      <c r="H396" s="262"/>
      <c r="I396" s="262"/>
      <c r="J396" s="265">
        <v>213518</v>
      </c>
      <c r="K396" s="270">
        <v>31016</v>
      </c>
      <c r="L396" s="266">
        <v>1</v>
      </c>
      <c r="M396" s="266">
        <v>1</v>
      </c>
      <c r="N396" s="267">
        <v>6851.06</v>
      </c>
      <c r="O396" s="268">
        <v>45658</v>
      </c>
      <c r="P396" s="262"/>
      <c r="Q396" s="262"/>
    </row>
    <row r="397" spans="1:17" ht="14.1" customHeight="1">
      <c r="A397" s="261" t="s">
        <v>1091</v>
      </c>
      <c r="B397" s="262"/>
      <c r="C397" s="263" t="s">
        <v>1089</v>
      </c>
      <c r="D397" s="264">
        <v>250000</v>
      </c>
      <c r="E397" s="264">
        <v>0</v>
      </c>
      <c r="F397" s="264">
        <v>1903</v>
      </c>
      <c r="G397" s="261" t="s">
        <v>957</v>
      </c>
      <c r="H397" s="262"/>
      <c r="I397" s="262"/>
      <c r="J397" s="265">
        <v>213518</v>
      </c>
      <c r="K397" s="270">
        <v>31016</v>
      </c>
      <c r="L397" s="266">
        <v>1</v>
      </c>
      <c r="M397" s="266">
        <v>1</v>
      </c>
      <c r="N397" s="267">
        <v>2715.78</v>
      </c>
      <c r="O397" s="268">
        <v>45658</v>
      </c>
      <c r="P397" s="262"/>
      <c r="Q397" s="262"/>
    </row>
    <row r="398" spans="1:17" ht="14.1" customHeight="1">
      <c r="A398" s="261" t="s">
        <v>1092</v>
      </c>
      <c r="B398" s="262"/>
      <c r="C398" s="263" t="s">
        <v>1093</v>
      </c>
      <c r="D398" s="263" t="s">
        <v>985</v>
      </c>
      <c r="E398" s="264">
        <v>6</v>
      </c>
      <c r="F398" s="264">
        <v>1903</v>
      </c>
      <c r="G398" s="261" t="s">
        <v>957</v>
      </c>
      <c r="H398" s="262"/>
      <c r="I398" s="262"/>
      <c r="J398" s="265">
        <v>213518</v>
      </c>
      <c r="K398" s="270">
        <v>31016</v>
      </c>
      <c r="L398" s="266">
        <v>1</v>
      </c>
      <c r="M398" s="266">
        <v>1</v>
      </c>
      <c r="N398" s="267">
        <v>42211.46</v>
      </c>
      <c r="O398" s="268">
        <v>45658</v>
      </c>
      <c r="P398" s="262"/>
      <c r="Q398" s="262"/>
    </row>
    <row r="399" spans="1:17" ht="14.1" customHeight="1">
      <c r="A399" s="261" t="s">
        <v>1094</v>
      </c>
      <c r="B399" s="262"/>
      <c r="C399" s="263" t="s">
        <v>1095</v>
      </c>
      <c r="D399" s="264">
        <v>250000</v>
      </c>
      <c r="E399" s="264">
        <v>0</v>
      </c>
      <c r="F399" s="264">
        <v>1903</v>
      </c>
      <c r="G399" s="261" t="s">
        <v>957</v>
      </c>
      <c r="H399" s="262"/>
      <c r="I399" s="262"/>
      <c r="J399" s="265">
        <v>213518</v>
      </c>
      <c r="K399" s="261" t="s">
        <v>1096</v>
      </c>
      <c r="L399" s="266">
        <v>1</v>
      </c>
      <c r="M399" s="266">
        <v>1</v>
      </c>
      <c r="N399" s="267">
        <v>1716</v>
      </c>
      <c r="O399" s="268">
        <v>45658</v>
      </c>
      <c r="P399" s="262"/>
      <c r="Q399" s="262"/>
    </row>
    <row r="400" spans="1:17" ht="14.1" customHeight="1">
      <c r="A400" s="261" t="s">
        <v>1097</v>
      </c>
      <c r="B400" s="262"/>
      <c r="C400" s="263" t="s">
        <v>1095</v>
      </c>
      <c r="D400" s="264">
        <v>250000</v>
      </c>
      <c r="E400" s="264">
        <v>0</v>
      </c>
      <c r="F400" s="264">
        <v>1903</v>
      </c>
      <c r="G400" s="261" t="s">
        <v>957</v>
      </c>
      <c r="H400" s="262"/>
      <c r="I400" s="262"/>
      <c r="J400" s="265">
        <v>213518</v>
      </c>
      <c r="K400" s="261" t="s">
        <v>1096</v>
      </c>
      <c r="L400" s="266">
        <v>1</v>
      </c>
      <c r="M400" s="266">
        <v>1</v>
      </c>
      <c r="N400" s="267">
        <v>1140</v>
      </c>
      <c r="O400" s="268">
        <v>45658</v>
      </c>
      <c r="P400" s="262"/>
      <c r="Q400" s="262"/>
    </row>
    <row r="401" spans="1:17" ht="14.1" customHeight="1">
      <c r="A401" s="261" t="s">
        <v>1098</v>
      </c>
      <c r="B401" s="262"/>
      <c r="C401" s="263" t="s">
        <v>654</v>
      </c>
      <c r="D401" s="263" t="s">
        <v>1099</v>
      </c>
      <c r="E401" s="264">
        <v>0</v>
      </c>
      <c r="F401" s="269">
        <v>201</v>
      </c>
      <c r="G401" s="261" t="s">
        <v>872</v>
      </c>
      <c r="H401" s="262"/>
      <c r="I401" s="262"/>
      <c r="J401" s="265">
        <v>2051</v>
      </c>
      <c r="K401" s="261" t="s">
        <v>1078</v>
      </c>
      <c r="L401" s="266">
        <v>1</v>
      </c>
      <c r="M401" s="266">
        <v>1</v>
      </c>
      <c r="N401" s="267">
        <v>8952.6</v>
      </c>
      <c r="O401" s="268">
        <v>45658</v>
      </c>
      <c r="P401" s="262"/>
      <c r="Q401" s="262"/>
    </row>
    <row r="402" spans="1:17" ht="14.1" customHeight="1">
      <c r="A402" s="261" t="s">
        <v>1100</v>
      </c>
      <c r="B402" s="262"/>
      <c r="C402" s="263" t="s">
        <v>972</v>
      </c>
      <c r="D402" s="264">
        <v>250000</v>
      </c>
      <c r="E402" s="264">
        <v>0</v>
      </c>
      <c r="F402" s="264">
        <v>1401</v>
      </c>
      <c r="G402" s="261" t="s">
        <v>957</v>
      </c>
      <c r="H402" s="262"/>
      <c r="I402" s="262"/>
      <c r="J402" s="265">
        <v>213518</v>
      </c>
      <c r="K402" s="261" t="s">
        <v>1054</v>
      </c>
      <c r="L402" s="266">
        <v>1</v>
      </c>
      <c r="M402" s="266">
        <v>1</v>
      </c>
      <c r="N402" s="267">
        <v>29941.200000000001</v>
      </c>
      <c r="O402" s="268">
        <v>45658</v>
      </c>
      <c r="P402" s="262"/>
      <c r="Q402" s="262"/>
    </row>
    <row r="403" spans="1:17" ht="14.1" customHeight="1">
      <c r="A403" s="261" t="s">
        <v>1101</v>
      </c>
      <c r="B403" s="262"/>
      <c r="C403" s="263" t="s">
        <v>807</v>
      </c>
      <c r="D403" s="263" t="s">
        <v>954</v>
      </c>
      <c r="E403" s="264">
        <v>0</v>
      </c>
      <c r="F403" s="264">
        <v>2501</v>
      </c>
      <c r="G403" s="261" t="s">
        <v>957</v>
      </c>
      <c r="H403" s="262"/>
      <c r="I403" s="262"/>
      <c r="J403" s="265">
        <v>2154114</v>
      </c>
      <c r="K403" s="270">
        <v>18651</v>
      </c>
      <c r="L403" s="266">
        <v>1</v>
      </c>
      <c r="M403" s="266">
        <v>1</v>
      </c>
      <c r="N403" s="267">
        <v>8715.48</v>
      </c>
      <c r="O403" s="268">
        <v>45658</v>
      </c>
      <c r="P403" s="262"/>
      <c r="Q403" s="262"/>
    </row>
    <row r="404" spans="1:17" ht="14.1" customHeight="1">
      <c r="A404" s="261" t="s">
        <v>1102</v>
      </c>
      <c r="B404" s="262"/>
      <c r="C404" s="263" t="s">
        <v>1103</v>
      </c>
      <c r="D404" s="263" t="s">
        <v>869</v>
      </c>
      <c r="E404" s="264">
        <v>1</v>
      </c>
      <c r="F404" s="264">
        <v>1101</v>
      </c>
      <c r="G404" s="261" t="s">
        <v>612</v>
      </c>
      <c r="H404" s="262"/>
      <c r="I404" s="262"/>
      <c r="J404" s="265">
        <v>2382591</v>
      </c>
      <c r="K404" s="262"/>
      <c r="L404" s="266">
        <v>1</v>
      </c>
      <c r="M404" s="266">
        <v>0.82499999999999996</v>
      </c>
      <c r="N404" s="267">
        <v>72022.5</v>
      </c>
      <c r="O404" s="268">
        <v>45658</v>
      </c>
      <c r="P404" s="262"/>
      <c r="Q404" s="262"/>
    </row>
    <row r="405" spans="1:17" ht="14.1" customHeight="1">
      <c r="A405" s="261" t="s">
        <v>1104</v>
      </c>
      <c r="B405" s="262"/>
      <c r="C405" s="263" t="s">
        <v>1105</v>
      </c>
      <c r="D405" s="264">
        <v>190084</v>
      </c>
      <c r="E405" s="264">
        <v>0</v>
      </c>
      <c r="F405" s="269">
        <v>101</v>
      </c>
      <c r="G405" s="261" t="s">
        <v>612</v>
      </c>
      <c r="H405" s="262"/>
      <c r="I405" s="262"/>
      <c r="J405" s="265">
        <v>238256</v>
      </c>
      <c r="K405" s="262"/>
      <c r="L405" s="266">
        <v>1</v>
      </c>
      <c r="M405" s="266">
        <v>1</v>
      </c>
      <c r="N405" s="267">
        <v>6057.11</v>
      </c>
      <c r="O405" s="268">
        <v>45658</v>
      </c>
      <c r="P405" s="262"/>
      <c r="Q405" s="262"/>
    </row>
    <row r="406" spans="1:17" ht="14.1" customHeight="1">
      <c r="A406" s="263" t="s">
        <v>1106</v>
      </c>
      <c r="B406" s="262"/>
      <c r="C406" s="263" t="s">
        <v>1107</v>
      </c>
      <c r="D406" s="264">
        <v>190084</v>
      </c>
      <c r="E406" s="264">
        <v>0</v>
      </c>
      <c r="F406" s="264">
        <v>1903</v>
      </c>
      <c r="G406" s="261" t="s">
        <v>612</v>
      </c>
      <c r="H406" s="262"/>
      <c r="I406" s="262"/>
      <c r="J406" s="265">
        <v>238256</v>
      </c>
      <c r="K406" s="262"/>
      <c r="L406" s="266">
        <v>1</v>
      </c>
      <c r="M406" s="266">
        <v>1</v>
      </c>
      <c r="N406" s="267">
        <v>131484.43</v>
      </c>
      <c r="O406" s="268">
        <v>45658</v>
      </c>
      <c r="P406" s="262"/>
      <c r="Q406" s="262"/>
    </row>
    <row r="407" spans="1:17" ht="14.1" customHeight="1">
      <c r="A407" s="263" t="s">
        <v>1108</v>
      </c>
      <c r="B407" s="262"/>
      <c r="C407" s="263" t="s">
        <v>1109</v>
      </c>
      <c r="D407" s="264">
        <v>190084</v>
      </c>
      <c r="E407" s="264">
        <v>0</v>
      </c>
      <c r="F407" s="264">
        <v>1903</v>
      </c>
      <c r="G407" s="261" t="s">
        <v>612</v>
      </c>
      <c r="H407" s="262"/>
      <c r="I407" s="262"/>
      <c r="J407" s="265">
        <v>238256</v>
      </c>
      <c r="K407" s="262"/>
      <c r="L407" s="266">
        <v>1</v>
      </c>
      <c r="M407" s="266">
        <v>1</v>
      </c>
      <c r="N407" s="267">
        <v>98307.78</v>
      </c>
      <c r="O407" s="268">
        <v>45658</v>
      </c>
      <c r="P407" s="262"/>
      <c r="Q407" s="262"/>
    </row>
    <row r="408" spans="1:17" ht="14.1" customHeight="1">
      <c r="A408" s="263" t="s">
        <v>1110</v>
      </c>
      <c r="B408" s="262"/>
      <c r="C408" s="263" t="s">
        <v>1111</v>
      </c>
      <c r="D408" s="264">
        <v>190084</v>
      </c>
      <c r="E408" s="264">
        <v>0</v>
      </c>
      <c r="F408" s="269">
        <v>101</v>
      </c>
      <c r="G408" s="261" t="s">
        <v>612</v>
      </c>
      <c r="H408" s="262"/>
      <c r="I408" s="262"/>
      <c r="J408" s="265">
        <v>238256</v>
      </c>
      <c r="K408" s="262"/>
      <c r="L408" s="266">
        <v>1</v>
      </c>
      <c r="M408" s="266">
        <v>1</v>
      </c>
      <c r="N408" s="267">
        <v>18322.080000000002</v>
      </c>
      <c r="O408" s="268">
        <v>45658</v>
      </c>
      <c r="P408" s="262"/>
      <c r="Q408" s="262"/>
    </row>
    <row r="409" spans="1:17" ht="14.1" customHeight="1">
      <c r="A409" s="263" t="s">
        <v>1112</v>
      </c>
      <c r="B409" s="262"/>
      <c r="C409" s="263" t="s">
        <v>1113</v>
      </c>
      <c r="D409" s="264">
        <v>190084</v>
      </c>
      <c r="E409" s="264">
        <v>0</v>
      </c>
      <c r="F409" s="269">
        <v>101</v>
      </c>
      <c r="G409" s="261" t="s">
        <v>612</v>
      </c>
      <c r="H409" s="262"/>
      <c r="I409" s="262"/>
      <c r="J409" s="265">
        <v>238256</v>
      </c>
      <c r="K409" s="262"/>
      <c r="L409" s="266">
        <v>1</v>
      </c>
      <c r="M409" s="262"/>
      <c r="N409" s="262"/>
      <c r="O409" s="268">
        <v>45658</v>
      </c>
      <c r="P409" s="268">
        <v>45658</v>
      </c>
      <c r="Q409" s="262"/>
    </row>
    <row r="410" spans="1:17" ht="14.1" customHeight="1">
      <c r="A410" s="276" t="s">
        <v>942</v>
      </c>
      <c r="B410" s="262"/>
      <c r="C410" s="263" t="s">
        <v>1113</v>
      </c>
      <c r="D410" s="264">
        <v>190084</v>
      </c>
      <c r="E410" s="264">
        <v>0</v>
      </c>
      <c r="F410" s="269">
        <v>101</v>
      </c>
      <c r="G410" s="261" t="s">
        <v>612</v>
      </c>
      <c r="H410" s="262"/>
      <c r="I410" s="262"/>
      <c r="J410" s="265">
        <v>238256</v>
      </c>
      <c r="K410" s="262"/>
      <c r="L410" s="262"/>
      <c r="M410" s="266">
        <v>0.85</v>
      </c>
      <c r="N410" s="267">
        <v>1198.5</v>
      </c>
      <c r="O410" s="268">
        <v>45658</v>
      </c>
      <c r="P410" s="268">
        <v>45658</v>
      </c>
      <c r="Q410" s="262"/>
    </row>
    <row r="411" spans="1:17" ht="14.1" customHeight="1">
      <c r="A411" s="276" t="s">
        <v>943</v>
      </c>
      <c r="B411" s="262"/>
      <c r="C411" s="263" t="s">
        <v>1113</v>
      </c>
      <c r="D411" s="264">
        <v>190084</v>
      </c>
      <c r="E411" s="264">
        <v>0</v>
      </c>
      <c r="F411" s="269">
        <v>101</v>
      </c>
      <c r="G411" s="261" t="s">
        <v>612</v>
      </c>
      <c r="H411" s="262"/>
      <c r="I411" s="262"/>
      <c r="J411" s="265">
        <v>238256</v>
      </c>
      <c r="K411" s="262"/>
      <c r="L411" s="262"/>
      <c r="M411" s="266">
        <v>0.15</v>
      </c>
      <c r="N411" s="271">
        <v>211.5</v>
      </c>
      <c r="O411" s="268">
        <v>45658</v>
      </c>
      <c r="P411" s="268">
        <v>45658</v>
      </c>
      <c r="Q411" s="262"/>
    </row>
    <row r="412" spans="1:17" ht="14.1" customHeight="1">
      <c r="A412" s="263" t="s">
        <v>1114</v>
      </c>
      <c r="B412" s="262"/>
      <c r="C412" s="263" t="s">
        <v>972</v>
      </c>
      <c r="D412" s="264">
        <v>250000</v>
      </c>
      <c r="E412" s="264">
        <v>0</v>
      </c>
      <c r="F412" s="264">
        <v>1903</v>
      </c>
      <c r="G412" s="261" t="s">
        <v>957</v>
      </c>
      <c r="H412" s="262"/>
      <c r="I412" s="262"/>
      <c r="J412" s="265">
        <v>213518</v>
      </c>
      <c r="K412" s="261" t="s">
        <v>1054</v>
      </c>
      <c r="L412" s="266">
        <v>1</v>
      </c>
      <c r="M412" s="266">
        <v>1</v>
      </c>
      <c r="N412" s="267">
        <v>1334.4</v>
      </c>
      <c r="O412" s="268">
        <v>45658</v>
      </c>
      <c r="P412" s="262"/>
      <c r="Q412" s="262"/>
    </row>
    <row r="413" spans="1:17" ht="14.1" customHeight="1">
      <c r="A413" s="263" t="s">
        <v>1115</v>
      </c>
      <c r="B413" s="262"/>
      <c r="C413" s="263" t="s">
        <v>972</v>
      </c>
      <c r="D413" s="264">
        <v>250000</v>
      </c>
      <c r="E413" s="264">
        <v>0</v>
      </c>
      <c r="F413" s="264">
        <v>1903</v>
      </c>
      <c r="G413" s="261" t="s">
        <v>957</v>
      </c>
      <c r="H413" s="262"/>
      <c r="I413" s="262"/>
      <c r="J413" s="265">
        <v>213518</v>
      </c>
      <c r="K413" s="261" t="s">
        <v>1054</v>
      </c>
      <c r="L413" s="266">
        <v>10</v>
      </c>
      <c r="M413" s="266">
        <v>10</v>
      </c>
      <c r="N413" s="271">
        <v>864</v>
      </c>
      <c r="O413" s="268">
        <v>45658</v>
      </c>
      <c r="P413" s="262"/>
      <c r="Q413" s="262"/>
    </row>
    <row r="414" spans="1:17" ht="14.1" customHeight="1">
      <c r="A414" s="263" t="s">
        <v>1116</v>
      </c>
      <c r="B414" s="262"/>
      <c r="C414" s="263" t="s">
        <v>972</v>
      </c>
      <c r="D414" s="264">
        <v>250000</v>
      </c>
      <c r="E414" s="264">
        <v>0</v>
      </c>
      <c r="F414" s="264">
        <v>1903</v>
      </c>
      <c r="G414" s="261" t="s">
        <v>957</v>
      </c>
      <c r="H414" s="262"/>
      <c r="I414" s="262"/>
      <c r="J414" s="265">
        <v>213518</v>
      </c>
      <c r="K414" s="261" t="s">
        <v>1054</v>
      </c>
      <c r="L414" s="266">
        <v>10</v>
      </c>
      <c r="M414" s="266">
        <v>10</v>
      </c>
      <c r="N414" s="267">
        <v>2172</v>
      </c>
      <c r="O414" s="268">
        <v>45658</v>
      </c>
      <c r="P414" s="262"/>
      <c r="Q414" s="262"/>
    </row>
    <row r="415" spans="1:17" ht="14.1" customHeight="1">
      <c r="A415" s="263" t="s">
        <v>1117</v>
      </c>
      <c r="B415" s="262"/>
      <c r="C415" s="263" t="s">
        <v>1118</v>
      </c>
      <c r="D415" s="264">
        <v>250000</v>
      </c>
      <c r="E415" s="264">
        <v>0</v>
      </c>
      <c r="F415" s="264">
        <v>1903</v>
      </c>
      <c r="G415" s="261" t="s">
        <v>957</v>
      </c>
      <c r="H415" s="262"/>
      <c r="I415" s="262"/>
      <c r="J415" s="265">
        <v>213514</v>
      </c>
      <c r="K415" s="261" t="s">
        <v>1054</v>
      </c>
      <c r="L415" s="266">
        <v>1</v>
      </c>
      <c r="M415" s="266">
        <v>1</v>
      </c>
      <c r="N415" s="267">
        <v>9938.77</v>
      </c>
      <c r="O415" s="268">
        <v>45658</v>
      </c>
      <c r="P415" s="262"/>
      <c r="Q415" s="262"/>
    </row>
    <row r="416" spans="1:17" ht="14.1" customHeight="1">
      <c r="A416" s="263" t="s">
        <v>1119</v>
      </c>
      <c r="B416" s="262"/>
      <c r="C416" s="263" t="s">
        <v>1120</v>
      </c>
      <c r="D416" s="264">
        <v>250000</v>
      </c>
      <c r="E416" s="264">
        <v>0</v>
      </c>
      <c r="F416" s="264">
        <v>1903</v>
      </c>
      <c r="G416" s="261" t="s">
        <v>957</v>
      </c>
      <c r="H416" s="262"/>
      <c r="I416" s="262"/>
      <c r="J416" s="265">
        <v>213511</v>
      </c>
      <c r="K416" s="270">
        <v>3301</v>
      </c>
      <c r="L416" s="266">
        <v>1</v>
      </c>
      <c r="M416" s="266">
        <v>1</v>
      </c>
      <c r="N416" s="267">
        <v>2329.8200000000002</v>
      </c>
      <c r="O416" s="268">
        <v>45658</v>
      </c>
      <c r="P416" s="262"/>
      <c r="Q416" s="262"/>
    </row>
    <row r="417" spans="1:17" ht="14.1" customHeight="1">
      <c r="A417" s="263" t="s">
        <v>1121</v>
      </c>
      <c r="B417" s="262"/>
      <c r="C417" s="263" t="s">
        <v>1122</v>
      </c>
      <c r="D417" s="264">
        <v>250000</v>
      </c>
      <c r="E417" s="264">
        <v>0</v>
      </c>
      <c r="F417" s="264">
        <v>3590</v>
      </c>
      <c r="G417" s="261" t="s">
        <v>957</v>
      </c>
      <c r="H417" s="262"/>
      <c r="I417" s="262"/>
      <c r="J417" s="265">
        <v>2154128</v>
      </c>
      <c r="K417" s="270">
        <v>18502</v>
      </c>
      <c r="L417" s="266">
        <v>1</v>
      </c>
      <c r="M417" s="266">
        <v>1</v>
      </c>
      <c r="N417" s="267">
        <v>7451.38</v>
      </c>
      <c r="O417" s="268">
        <v>45658</v>
      </c>
      <c r="P417" s="262"/>
      <c r="Q417" s="262"/>
    </row>
    <row r="418" spans="1:17" ht="14.1" customHeight="1">
      <c r="A418" s="422" t="s">
        <v>1123</v>
      </c>
      <c r="B418" s="422"/>
      <c r="C418" s="422"/>
      <c r="D418" s="422"/>
      <c r="E418" s="422"/>
      <c r="F418" s="422"/>
      <c r="G418" s="422"/>
      <c r="H418" s="422"/>
      <c r="I418" s="422"/>
      <c r="J418" s="422"/>
      <c r="K418" s="423"/>
      <c r="L418" s="274">
        <v>2612.75</v>
      </c>
      <c r="M418" s="274">
        <v>1156.1179999999999</v>
      </c>
      <c r="N418" s="277">
        <f>SUM(N5:N417)</f>
        <v>3101304.87</v>
      </c>
      <c r="O418" s="424"/>
      <c r="P418" s="425"/>
      <c r="Q418" s="425"/>
    </row>
  </sheetData>
  <mergeCells count="19">
    <mergeCell ref="A418:K418"/>
    <mergeCell ref="O418:Q418"/>
    <mergeCell ref="K3:K4"/>
    <mergeCell ref="L3:L4"/>
    <mergeCell ref="M3:M4"/>
    <mergeCell ref="N3:N4"/>
    <mergeCell ref="O3:O4"/>
    <mergeCell ref="P3:P4"/>
    <mergeCell ref="A1:Q1"/>
    <mergeCell ref="A2:R2"/>
    <mergeCell ref="A3:A4"/>
    <mergeCell ref="B3:B4"/>
    <mergeCell ref="C3:C4"/>
    <mergeCell ref="D3:E3"/>
    <mergeCell ref="F3:F4"/>
    <mergeCell ref="G3:G4"/>
    <mergeCell ref="H3:I3"/>
    <mergeCell ref="J3:J4"/>
    <mergeCell ref="Q3:Q4"/>
  </mergeCells>
  <pageMargins left="0.7" right="0.7" top="0.75" bottom="0.75" header="0.3" footer="0.3"/>
  <drawing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3B5397-720F-45E1-83E5-EE7B5BA2F8BE}">
  <dimension ref="B3:E18"/>
  <sheetViews>
    <sheetView showGridLines="0" workbookViewId="0">
      <selection activeCell="E24" sqref="E24"/>
    </sheetView>
  </sheetViews>
  <sheetFormatPr baseColWidth="10" defaultRowHeight="15"/>
  <cols>
    <col min="2" max="2" width="47" bestFit="1" customWidth="1"/>
    <col min="3" max="3" width="15.28515625" bestFit="1" customWidth="1"/>
    <col min="4" max="5" width="16.7109375" customWidth="1"/>
  </cols>
  <sheetData>
    <row r="3" spans="2:5">
      <c r="C3" s="294" t="s">
        <v>0</v>
      </c>
      <c r="D3" s="294" t="s">
        <v>1127</v>
      </c>
      <c r="E3" s="294"/>
    </row>
    <row r="4" spans="2:5" s="1" customFormat="1">
      <c r="B4" s="295" t="s">
        <v>1145</v>
      </c>
      <c r="C4" s="296">
        <v>9605051.8900000006</v>
      </c>
      <c r="D4" s="296">
        <v>9329157.0399999991</v>
      </c>
      <c r="E4" s="296"/>
    </row>
    <row r="5" spans="2:5">
      <c r="B5" s="297" t="s">
        <v>1146</v>
      </c>
      <c r="C5" s="298">
        <v>3525365.82</v>
      </c>
      <c r="D5" s="298">
        <v>3984292.62</v>
      </c>
      <c r="E5" s="298"/>
    </row>
    <row r="6" spans="2:5">
      <c r="B6" s="299" t="s">
        <v>1147</v>
      </c>
      <c r="C6" s="300">
        <v>17215219.23</v>
      </c>
      <c r="D6" s="300">
        <v>5980863.1500000004</v>
      </c>
      <c r="E6" s="300"/>
    </row>
    <row r="7" spans="2:5">
      <c r="B7" s="299" t="s">
        <v>1148</v>
      </c>
      <c r="C7" s="300">
        <v>36453.22</v>
      </c>
      <c r="D7" s="300">
        <v>1850</v>
      </c>
      <c r="E7" s="300"/>
    </row>
    <row r="8" spans="2:5" s="1" customFormat="1">
      <c r="B8" s="301" t="s">
        <v>1149</v>
      </c>
      <c r="C8" s="302">
        <f>SUM(C4:C7)</f>
        <v>30382090.16</v>
      </c>
      <c r="D8" s="302">
        <f>SUM(D4:D7)</f>
        <v>19296162.810000002</v>
      </c>
      <c r="E8" s="302"/>
    </row>
    <row r="9" spans="2:5" s="1" customFormat="1">
      <c r="B9" s="295" t="s">
        <v>1150</v>
      </c>
      <c r="C9" s="296"/>
      <c r="D9" s="296"/>
      <c r="E9" s="296"/>
    </row>
    <row r="10" spans="2:5" s="305" customFormat="1" ht="6" customHeight="1">
      <c r="B10" s="303"/>
      <c r="C10" s="304"/>
      <c r="D10" s="304"/>
      <c r="E10" s="304"/>
    </row>
    <row r="11" spans="2:5" s="1" customFormat="1">
      <c r="B11" s="306" t="s">
        <v>1151</v>
      </c>
      <c r="C11" s="307"/>
      <c r="D11" s="307"/>
      <c r="E11" s="307"/>
    </row>
    <row r="12" spans="2:5">
      <c r="B12" s="297" t="s">
        <v>1152</v>
      </c>
      <c r="C12" s="298">
        <v>11312788.26</v>
      </c>
      <c r="D12" s="298">
        <v>7603127.4800000004</v>
      </c>
      <c r="E12" s="298"/>
    </row>
    <row r="13" spans="2:5">
      <c r="B13" s="299" t="s">
        <v>1153</v>
      </c>
      <c r="C13" s="300">
        <v>3317228.74</v>
      </c>
      <c r="D13" s="300">
        <v>1200615.68</v>
      </c>
      <c r="E13" s="300"/>
    </row>
    <row r="14" spans="2:5">
      <c r="B14" s="299" t="s">
        <v>1154</v>
      </c>
      <c r="C14" s="300">
        <v>1800991</v>
      </c>
      <c r="D14" s="300">
        <v>1785998</v>
      </c>
      <c r="E14" s="300"/>
    </row>
    <row r="15" spans="2:5" s="1" customFormat="1">
      <c r="B15" s="301" t="s">
        <v>1155</v>
      </c>
      <c r="C15" s="302">
        <f>SUM(C12:C14)</f>
        <v>16431008</v>
      </c>
      <c r="D15" s="302">
        <f>SUM(D12:D14)</f>
        <v>10589741.16</v>
      </c>
      <c r="E15" s="302"/>
    </row>
    <row r="16" spans="2:5" s="1" customFormat="1">
      <c r="B16" s="295" t="s">
        <v>1156</v>
      </c>
      <c r="C16" s="296">
        <f>+C8-C15</f>
        <v>13951082.16</v>
      </c>
      <c r="D16" s="296">
        <f>+D8-D15</f>
        <v>8706421.6500000022</v>
      </c>
      <c r="E16" s="296"/>
    </row>
    <row r="17" spans="2:5" s="305" customFormat="1" ht="6" customHeight="1">
      <c r="B17" s="303"/>
      <c r="C17" s="304"/>
      <c r="D17" s="304"/>
      <c r="E17" s="304"/>
    </row>
    <row r="18" spans="2:5" s="1" customFormat="1">
      <c r="B18" s="295" t="s">
        <v>1157</v>
      </c>
      <c r="C18" s="308">
        <f>+C16+C15</f>
        <v>30382090.16</v>
      </c>
      <c r="D18" s="308">
        <f>+D16+D15</f>
        <v>19296162.810000002</v>
      </c>
      <c r="E18" s="308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B637EE-8653-4772-91D1-61DF5681E988}">
  <sheetPr>
    <pageSetUpPr fitToPage="1"/>
  </sheetPr>
  <dimension ref="A2:N26"/>
  <sheetViews>
    <sheetView topLeftCell="A4" workbookViewId="0">
      <selection activeCell="A6" sqref="A4:A6"/>
    </sheetView>
  </sheetViews>
  <sheetFormatPr baseColWidth="10" defaultRowHeight="15"/>
  <cols>
    <col min="1" max="1" width="48.5703125" bestFit="1" customWidth="1"/>
    <col min="2" max="2" width="15.42578125" bestFit="1" customWidth="1"/>
    <col min="3" max="3" width="14.28515625" bestFit="1" customWidth="1"/>
    <col min="4" max="4" width="13.7109375" bestFit="1" customWidth="1"/>
    <col min="5" max="5" width="12.7109375" bestFit="1" customWidth="1"/>
  </cols>
  <sheetData>
    <row r="2" spans="1:14" ht="15.75" thickBot="1">
      <c r="H2" s="2" t="s">
        <v>89</v>
      </c>
    </row>
    <row r="3" spans="1:14" ht="28.5" customHeight="1">
      <c r="A3" s="26" t="s">
        <v>87</v>
      </c>
      <c r="B3" s="27" t="s">
        <v>0</v>
      </c>
      <c r="C3" s="27" t="s">
        <v>55</v>
      </c>
      <c r="D3" s="31" t="s">
        <v>451</v>
      </c>
      <c r="E3" s="28" t="s">
        <v>86</v>
      </c>
      <c r="H3" s="309" t="s">
        <v>126</v>
      </c>
      <c r="I3" s="310"/>
      <c r="J3" s="310"/>
      <c r="K3" s="310"/>
      <c r="L3" s="310"/>
      <c r="M3" s="310"/>
      <c r="N3" s="311"/>
    </row>
    <row r="4" spans="1:14" ht="28.5" customHeight="1">
      <c r="A4" s="20" t="s">
        <v>84</v>
      </c>
      <c r="B4" s="21">
        <f>DEPENSES!C4</f>
        <v>95159303.719999984</v>
      </c>
      <c r="C4" s="21">
        <f>DEPENSES!D4</f>
        <v>95061870.880000025</v>
      </c>
      <c r="D4" s="21">
        <f>+DEPENSES!I4</f>
        <v>95882207.470188275</v>
      </c>
      <c r="E4" s="22"/>
      <c r="H4" s="312"/>
      <c r="I4" s="313"/>
      <c r="J4" s="313"/>
      <c r="K4" s="313"/>
      <c r="L4" s="313"/>
      <c r="M4" s="313"/>
      <c r="N4" s="314"/>
    </row>
    <row r="5" spans="1:14" ht="28.5" customHeight="1">
      <c r="A5" s="20" t="s">
        <v>85</v>
      </c>
      <c r="B5" s="21">
        <f>DEPENSES!C22</f>
        <v>27311427.380000003</v>
      </c>
      <c r="C5" s="21">
        <f>DEPENSES!D22</f>
        <v>27865578.579999998</v>
      </c>
      <c r="D5" s="21">
        <f>+DEPENSES!I22</f>
        <v>29150395.194680002</v>
      </c>
      <c r="E5" s="22"/>
      <c r="H5" s="312"/>
      <c r="I5" s="313"/>
      <c r="J5" s="313"/>
      <c r="K5" s="313"/>
      <c r="L5" s="313"/>
      <c r="M5" s="313"/>
      <c r="N5" s="314"/>
    </row>
    <row r="6" spans="1:14" ht="28.5" customHeight="1">
      <c r="A6" s="20" t="s">
        <v>83</v>
      </c>
      <c r="B6" s="21">
        <f>DEPENSES!C32</f>
        <v>15005171.159999998</v>
      </c>
      <c r="C6" s="21">
        <f>DEPENSES!D32</f>
        <v>14911127.18</v>
      </c>
      <c r="D6" s="21">
        <f>+DEPENSES!I32</f>
        <v>18812689.601805884</v>
      </c>
      <c r="E6" s="22"/>
      <c r="H6" s="312"/>
      <c r="I6" s="313"/>
      <c r="J6" s="313"/>
      <c r="K6" s="313"/>
      <c r="L6" s="313"/>
      <c r="M6" s="313"/>
      <c r="N6" s="314"/>
    </row>
    <row r="7" spans="1:14" ht="28.5" customHeight="1">
      <c r="A7" s="23" t="s">
        <v>88</v>
      </c>
      <c r="B7" s="21">
        <f>DEPENSES!C45</f>
        <v>9967240.379999999</v>
      </c>
      <c r="C7" s="21">
        <f>DEPENSES!D45</f>
        <v>8076521.3799999999</v>
      </c>
      <c r="D7" s="21">
        <f>+DEPENSES!I45</f>
        <v>8076521.3799999999</v>
      </c>
      <c r="E7" s="24"/>
      <c r="H7" s="312"/>
      <c r="I7" s="313"/>
      <c r="J7" s="313"/>
      <c r="K7" s="313"/>
      <c r="L7" s="313"/>
      <c r="M7" s="313"/>
      <c r="N7" s="314"/>
    </row>
    <row r="8" spans="1:14" ht="27.75" customHeight="1" thickBot="1">
      <c r="A8" s="25" t="s">
        <v>121</v>
      </c>
      <c r="B8" s="90">
        <f>SUM(B4:B7)</f>
        <v>147443142.63999999</v>
      </c>
      <c r="C8" s="90">
        <f t="shared" ref="C8" si="0">SUM(C4:C7)</f>
        <v>145915098.02000001</v>
      </c>
      <c r="D8" s="91">
        <f>SUM(D4:D7)</f>
        <v>151921813.64667416</v>
      </c>
      <c r="E8" s="92"/>
      <c r="H8" s="315"/>
      <c r="I8" s="316"/>
      <c r="J8" s="316"/>
      <c r="K8" s="316"/>
      <c r="L8" s="316"/>
      <c r="M8" s="316"/>
      <c r="N8" s="317"/>
    </row>
    <row r="12" spans="1:14" ht="15.75" thickBot="1">
      <c r="H12" s="2" t="s">
        <v>89</v>
      </c>
    </row>
    <row r="13" spans="1:14" ht="30.75" customHeight="1">
      <c r="A13" s="26" t="s">
        <v>115</v>
      </c>
      <c r="B13" s="27" t="s">
        <v>0</v>
      </c>
      <c r="C13" s="27" t="s">
        <v>55</v>
      </c>
      <c r="D13" s="31" t="s">
        <v>124</v>
      </c>
      <c r="E13" s="28" t="s">
        <v>86</v>
      </c>
      <c r="H13" s="309" t="s">
        <v>127</v>
      </c>
      <c r="I13" s="318"/>
      <c r="J13" s="318"/>
      <c r="K13" s="318"/>
      <c r="L13" s="318"/>
      <c r="M13" s="318"/>
      <c r="N13" s="319"/>
    </row>
    <row r="14" spans="1:14" ht="30.75" customHeight="1">
      <c r="A14" s="20" t="s">
        <v>118</v>
      </c>
      <c r="B14" s="21">
        <f>RECETTES!C4</f>
        <v>106426631.11</v>
      </c>
      <c r="C14" s="21">
        <f>RECETTES!D4</f>
        <v>108648777.77999999</v>
      </c>
      <c r="D14" s="21">
        <f>+RECETTES!I4</f>
        <v>108330878.88122702</v>
      </c>
      <c r="E14" s="22"/>
      <c r="H14" s="320"/>
      <c r="I14" s="321"/>
      <c r="J14" s="321"/>
      <c r="K14" s="321"/>
      <c r="L14" s="321"/>
      <c r="M14" s="321"/>
      <c r="N14" s="322"/>
    </row>
    <row r="15" spans="1:14" ht="30.75" customHeight="1">
      <c r="A15" s="20" t="s">
        <v>119</v>
      </c>
      <c r="B15" s="21">
        <f>RECETTES!C17</f>
        <v>9227936.620000001</v>
      </c>
      <c r="C15" s="21">
        <f>RECETTES!D17</f>
        <v>8863460.1799999997</v>
      </c>
      <c r="D15" s="21">
        <f>+RECETTES!I17</f>
        <v>8956526.5118899997</v>
      </c>
      <c r="E15" s="22"/>
      <c r="H15" s="320"/>
      <c r="I15" s="321"/>
      <c r="J15" s="321"/>
      <c r="K15" s="321"/>
      <c r="L15" s="321"/>
      <c r="M15" s="321"/>
      <c r="N15" s="322"/>
    </row>
    <row r="16" spans="1:14" ht="30.75" customHeight="1">
      <c r="A16" s="20" t="s">
        <v>120</v>
      </c>
      <c r="B16" s="21">
        <f>RECETTES!C28</f>
        <v>17039421.879999999</v>
      </c>
      <c r="C16" s="21">
        <f>RECETTES!D28</f>
        <v>14767333.24</v>
      </c>
      <c r="D16" s="21">
        <f>+RECETTES!I28</f>
        <v>19635960.606150497</v>
      </c>
      <c r="E16" s="22"/>
      <c r="H16" s="320"/>
      <c r="I16" s="321"/>
      <c r="J16" s="321"/>
      <c r="K16" s="321"/>
      <c r="L16" s="321"/>
      <c r="M16" s="321"/>
      <c r="N16" s="322"/>
    </row>
    <row r="17" spans="1:14" ht="30.75" customHeight="1" thickBot="1">
      <c r="A17" s="25" t="s">
        <v>121</v>
      </c>
      <c r="B17" s="90">
        <f>SUM(B14:B16)</f>
        <v>132693989.61</v>
      </c>
      <c r="C17" s="90">
        <f>SUM(C14:C16)</f>
        <v>132279571.19999997</v>
      </c>
      <c r="D17" s="90">
        <f>SUM(D14:D16)</f>
        <v>136923365.99926752</v>
      </c>
      <c r="E17" s="92"/>
      <c r="H17" s="323"/>
      <c r="I17" s="324"/>
      <c r="J17" s="324"/>
      <c r="K17" s="324"/>
      <c r="L17" s="324"/>
      <c r="M17" s="324"/>
      <c r="N17" s="325"/>
    </row>
    <row r="20" spans="1:14" ht="15.75" thickBot="1">
      <c r="H20" s="2" t="s">
        <v>89</v>
      </c>
    </row>
    <row r="21" spans="1:14" ht="30">
      <c r="A21" s="26" t="s">
        <v>116</v>
      </c>
      <c r="B21" s="27">
        <v>2023</v>
      </c>
      <c r="C21" s="27" t="s">
        <v>55</v>
      </c>
      <c r="D21" s="31" t="s">
        <v>124</v>
      </c>
      <c r="E21" s="28" t="s">
        <v>86</v>
      </c>
      <c r="H21" s="309" t="s">
        <v>133</v>
      </c>
      <c r="I21" s="318"/>
      <c r="J21" s="318"/>
      <c r="K21" s="318"/>
      <c r="L21" s="318"/>
      <c r="M21" s="318"/>
      <c r="N21" s="319"/>
    </row>
    <row r="22" spans="1:14" ht="27.75" customHeight="1" thickBot="1">
      <c r="A22" s="25" t="s">
        <v>117</v>
      </c>
      <c r="B22" s="90">
        <f>B17-B8</f>
        <v>-14749153.029999986</v>
      </c>
      <c r="C22" s="90">
        <f>C17-C8</f>
        <v>-13635526.820000038</v>
      </c>
      <c r="D22" s="90">
        <f t="shared" ref="D22:E22" si="1">D17-D8</f>
        <v>-14998447.647406638</v>
      </c>
      <c r="E22" s="90">
        <f t="shared" si="1"/>
        <v>0</v>
      </c>
      <c r="H22" s="320"/>
      <c r="I22" s="321"/>
      <c r="J22" s="321"/>
      <c r="K22" s="321"/>
      <c r="L22" s="321"/>
      <c r="M22" s="321"/>
      <c r="N22" s="322"/>
    </row>
    <row r="23" spans="1:14">
      <c r="H23" s="320"/>
      <c r="I23" s="321"/>
      <c r="J23" s="321"/>
      <c r="K23" s="321"/>
      <c r="L23" s="321"/>
      <c r="M23" s="321"/>
      <c r="N23" s="322"/>
    </row>
    <row r="24" spans="1:14">
      <c r="H24" s="320"/>
      <c r="I24" s="321"/>
      <c r="J24" s="321"/>
      <c r="K24" s="321"/>
      <c r="L24" s="321"/>
      <c r="M24" s="321"/>
      <c r="N24" s="322"/>
    </row>
    <row r="25" spans="1:14">
      <c r="D25" s="35"/>
      <c r="H25" s="320"/>
      <c r="I25" s="321"/>
      <c r="J25" s="321"/>
      <c r="K25" s="321"/>
      <c r="L25" s="321"/>
      <c r="M25" s="321"/>
      <c r="N25" s="322"/>
    </row>
    <row r="26" spans="1:14" ht="15.75" thickBot="1">
      <c r="H26" s="323"/>
      <c r="I26" s="324"/>
      <c r="J26" s="324"/>
      <c r="K26" s="324"/>
      <c r="L26" s="324"/>
      <c r="M26" s="324"/>
      <c r="N26" s="325"/>
    </row>
  </sheetData>
  <mergeCells count="3">
    <mergeCell ref="H3:N8"/>
    <mergeCell ref="H13:N17"/>
    <mergeCell ref="H21:N26"/>
  </mergeCells>
  <pageMargins left="0.70866141732283472" right="0.70866141732283472" top="0.74803149606299213" bottom="0.74803149606299213" header="0.31496062992125984" footer="0.31496062992125984"/>
  <pageSetup paperSize="9" scale="63" orientation="landscape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696F49-3D62-4817-BDBD-8317B924B5A4}">
  <dimension ref="C2:G48"/>
  <sheetViews>
    <sheetView showGridLines="0" workbookViewId="0">
      <selection activeCell="C2" sqref="C2:F18"/>
    </sheetView>
  </sheetViews>
  <sheetFormatPr baseColWidth="10" defaultRowHeight="15"/>
  <cols>
    <col min="1" max="2" width="11.42578125" style="37"/>
    <col min="3" max="3" width="56.140625" style="222" customWidth="1"/>
    <col min="4" max="5" width="18.42578125" style="37" bestFit="1" customWidth="1"/>
    <col min="6" max="6" width="56.140625" style="222" customWidth="1"/>
    <col min="7" max="16384" width="11.42578125" style="37"/>
  </cols>
  <sheetData>
    <row r="2" spans="3:7" ht="30" customHeight="1">
      <c r="D2" s="436" t="s">
        <v>1168</v>
      </c>
      <c r="E2" s="436"/>
    </row>
    <row r="3" spans="3:7" ht="30" customHeight="1">
      <c r="D3" s="108" t="s">
        <v>1125</v>
      </c>
      <c r="E3" s="108" t="s">
        <v>1126</v>
      </c>
    </row>
    <row r="4" spans="3:7" ht="30" customHeight="1">
      <c r="C4" s="427" t="s">
        <v>1158</v>
      </c>
      <c r="D4" s="428">
        <v>95882207.469999999</v>
      </c>
      <c r="E4" s="428">
        <v>108330878.88</v>
      </c>
      <c r="F4" s="427" t="s">
        <v>1163</v>
      </c>
    </row>
    <row r="5" spans="3:7" ht="30" customHeight="1">
      <c r="C5" s="427" t="s">
        <v>1159</v>
      </c>
      <c r="D5" s="428">
        <v>29150395.190000001</v>
      </c>
      <c r="E5" s="428">
        <v>8965526.5099999998</v>
      </c>
      <c r="F5" s="427" t="s">
        <v>1164</v>
      </c>
    </row>
    <row r="6" spans="3:7" ht="30" customHeight="1">
      <c r="C6" s="427" t="s">
        <v>1160</v>
      </c>
      <c r="D6" s="428">
        <v>18812689.5</v>
      </c>
      <c r="E6" s="428">
        <v>19635960.609999999</v>
      </c>
      <c r="F6" s="427" t="s">
        <v>1166</v>
      </c>
    </row>
    <row r="7" spans="3:7" ht="30" customHeight="1">
      <c r="C7" s="429" t="s">
        <v>1167</v>
      </c>
      <c r="D7" s="430">
        <v>8076521.3799999999</v>
      </c>
      <c r="E7" s="431"/>
      <c r="F7" s="432"/>
    </row>
    <row r="8" spans="3:7" ht="30" customHeight="1">
      <c r="C8" s="427" t="s">
        <v>1136</v>
      </c>
      <c r="D8" s="428">
        <f>SUM(D4:D7)</f>
        <v>151921813.53999999</v>
      </c>
      <c r="E8" s="428">
        <f>SUM(E4:E6)</f>
        <v>136932366</v>
      </c>
      <c r="F8" s="427" t="s">
        <v>1137</v>
      </c>
    </row>
    <row r="9" spans="3:7" ht="30" customHeight="1">
      <c r="C9" s="433" t="s">
        <v>1161</v>
      </c>
      <c r="D9" s="434"/>
      <c r="E9" s="434">
        <v>14998447.57</v>
      </c>
      <c r="F9" s="433" t="s">
        <v>1165</v>
      </c>
      <c r="G9" s="445">
        <f>+E9/E8</f>
        <v>0.10953179301670725</v>
      </c>
    </row>
    <row r="10" spans="3:7" ht="30" customHeight="1">
      <c r="C10" s="427" t="s">
        <v>1162</v>
      </c>
      <c r="D10" s="428">
        <f>+D9+D8</f>
        <v>151921813.53999999</v>
      </c>
      <c r="E10" s="428">
        <f>+E9+E8</f>
        <v>151930813.56999999</v>
      </c>
      <c r="F10" s="427" t="s">
        <v>1162</v>
      </c>
    </row>
    <row r="12" spans="3:7" ht="30" customHeight="1">
      <c r="C12" s="435" t="s">
        <v>1175</v>
      </c>
      <c r="D12" s="435"/>
      <c r="E12" s="435"/>
      <c r="F12" s="435"/>
    </row>
    <row r="13" spans="3:7" ht="30" customHeight="1">
      <c r="C13" s="433" t="s">
        <v>1161</v>
      </c>
      <c r="D13" s="434"/>
      <c r="E13" s="434">
        <v>14800680.34</v>
      </c>
      <c r="F13" s="433" t="s">
        <v>1165</v>
      </c>
    </row>
    <row r="14" spans="3:7">
      <c r="C14" s="429" t="s">
        <v>1169</v>
      </c>
      <c r="D14" s="430"/>
      <c r="E14" s="430"/>
      <c r="F14" s="429" t="s">
        <v>1170</v>
      </c>
    </row>
    <row r="15" spans="3:7">
      <c r="C15" s="439" t="s">
        <v>79</v>
      </c>
      <c r="D15" s="443">
        <v>8004162.4199999999</v>
      </c>
      <c r="E15" s="443">
        <v>980816.46</v>
      </c>
      <c r="F15" s="439" t="s">
        <v>1171</v>
      </c>
    </row>
    <row r="16" spans="3:7">
      <c r="C16" s="439"/>
      <c r="D16" s="443"/>
      <c r="E16" s="443">
        <v>1592412.39</v>
      </c>
      <c r="F16" s="439" t="s">
        <v>1172</v>
      </c>
    </row>
    <row r="17" spans="3:6">
      <c r="C17" s="440" t="s">
        <v>1173</v>
      </c>
      <c r="D17" s="444">
        <f>SUM(D13:D16)</f>
        <v>8004162.4199999999</v>
      </c>
      <c r="E17" s="444">
        <f>SUM(E13:E16)</f>
        <v>17373909.190000001</v>
      </c>
      <c r="F17" s="440" t="s">
        <v>1173</v>
      </c>
    </row>
    <row r="18" spans="3:6" ht="30" customHeight="1">
      <c r="C18" s="433" t="s">
        <v>1174</v>
      </c>
      <c r="D18" s="434"/>
      <c r="E18" s="434">
        <f>+E17-D17</f>
        <v>9369746.7700000014</v>
      </c>
      <c r="F18" s="433" t="s">
        <v>1145</v>
      </c>
    </row>
    <row r="23" spans="3:6">
      <c r="C23" s="435" t="s">
        <v>1176</v>
      </c>
      <c r="D23" s="435"/>
      <c r="E23" s="435"/>
      <c r="F23" s="435"/>
    </row>
    <row r="25" spans="3:6" ht="30" customHeight="1">
      <c r="D25" s="436" t="s">
        <v>1168</v>
      </c>
      <c r="E25" s="436"/>
    </row>
    <row r="26" spans="3:6" ht="30" customHeight="1">
      <c r="D26" s="108" t="s">
        <v>1125</v>
      </c>
      <c r="E26" s="108" t="s">
        <v>1126</v>
      </c>
    </row>
    <row r="27" spans="3:6">
      <c r="C27" s="429" t="s">
        <v>1177</v>
      </c>
      <c r="D27" s="441">
        <v>163175498.68000001</v>
      </c>
      <c r="E27" s="441">
        <v>150335593.97999999</v>
      </c>
      <c r="F27" s="429" t="s">
        <v>1180</v>
      </c>
    </row>
    <row r="28" spans="3:6">
      <c r="C28" s="439" t="s">
        <v>1178</v>
      </c>
      <c r="D28" s="442">
        <v>1003167.97</v>
      </c>
      <c r="E28" s="442">
        <v>63655.5</v>
      </c>
      <c r="F28" s="439" t="s">
        <v>29</v>
      </c>
    </row>
    <row r="29" spans="3:6" ht="30">
      <c r="C29" s="439" t="s">
        <v>1182</v>
      </c>
      <c r="D29" s="448">
        <v>759130.46</v>
      </c>
      <c r="E29" s="448">
        <v>5168800.8600000003</v>
      </c>
      <c r="F29" s="446" t="s">
        <v>1181</v>
      </c>
    </row>
    <row r="30" spans="3:6">
      <c r="C30" s="440" t="s">
        <v>1179</v>
      </c>
      <c r="D30" s="449"/>
      <c r="E30" s="449"/>
      <c r="F30" s="447"/>
    </row>
    <row r="31" spans="3:6" ht="30" customHeight="1">
      <c r="C31" s="433" t="s">
        <v>1174</v>
      </c>
      <c r="D31" s="434"/>
      <c r="E31" s="434">
        <f>+D27+D28+D29-E27-E28-E29</f>
        <v>9369746.7700000256</v>
      </c>
      <c r="F31" s="433" t="s">
        <v>1145</v>
      </c>
    </row>
    <row r="32" spans="3:6">
      <c r="C32" s="429" t="s">
        <v>1169</v>
      </c>
      <c r="D32" s="451"/>
      <c r="E32" s="430"/>
      <c r="F32" s="429" t="s">
        <v>1170</v>
      </c>
    </row>
    <row r="33" spans="3:7">
      <c r="C33" s="439" t="s">
        <v>79</v>
      </c>
      <c r="D33" s="452">
        <v>8004162.4199999999</v>
      </c>
      <c r="E33" s="443">
        <v>980816.46</v>
      </c>
      <c r="F33" s="439" t="s">
        <v>1171</v>
      </c>
    </row>
    <row r="34" spans="3:7">
      <c r="C34" s="440"/>
      <c r="E34" s="443">
        <v>1592412.39</v>
      </c>
      <c r="F34" s="439" t="s">
        <v>1172</v>
      </c>
    </row>
    <row r="35" spans="3:7">
      <c r="C35" s="453" t="s">
        <v>1136</v>
      </c>
      <c r="D35" s="454">
        <f>SUM(D27:D33)</f>
        <v>172941959.53</v>
      </c>
      <c r="E35" s="454">
        <f>SUM(E32:E34)+SUM(E27:E29)</f>
        <v>158141279.19</v>
      </c>
      <c r="F35" s="427" t="s">
        <v>1137</v>
      </c>
    </row>
    <row r="36" spans="3:7" ht="30" customHeight="1">
      <c r="C36" s="433" t="s">
        <v>1161</v>
      </c>
      <c r="D36" s="434"/>
      <c r="E36" s="450">
        <f>+E35-D35</f>
        <v>-14800680.340000004</v>
      </c>
      <c r="F36" s="433" t="s">
        <v>1165</v>
      </c>
      <c r="G36" s="445"/>
    </row>
    <row r="37" spans="3:7" ht="30" customHeight="1">
      <c r="C37" s="427" t="s">
        <v>1162</v>
      </c>
      <c r="D37" s="428">
        <f>+D36+D35</f>
        <v>172941959.53</v>
      </c>
      <c r="E37" s="428">
        <f>+E35-E36</f>
        <v>172941959.53</v>
      </c>
      <c r="F37" s="427" t="s">
        <v>1162</v>
      </c>
    </row>
    <row r="38" spans="3:7" ht="30" customHeight="1">
      <c r="C38" s="455"/>
      <c r="D38" s="456"/>
      <c r="E38" s="456"/>
      <c r="F38" s="455"/>
    </row>
    <row r="40" spans="3:7">
      <c r="C40" s="435" t="s">
        <v>1183</v>
      </c>
      <c r="D40" s="435"/>
      <c r="E40" s="435"/>
      <c r="F40" s="435"/>
    </row>
    <row r="42" spans="3:7" ht="30" customHeight="1">
      <c r="C42" s="433" t="s">
        <v>1145</v>
      </c>
      <c r="D42" s="434">
        <v>9369746.7700000256</v>
      </c>
      <c r="E42" s="434"/>
      <c r="F42" s="433" t="s">
        <v>1174</v>
      </c>
    </row>
    <row r="43" spans="3:7">
      <c r="C43" s="429" t="s">
        <v>1184</v>
      </c>
      <c r="D43" s="430">
        <v>3890948.06</v>
      </c>
      <c r="E43" s="430"/>
      <c r="F43" s="429" t="s">
        <v>1185</v>
      </c>
    </row>
    <row r="44" spans="3:7">
      <c r="C44" s="439" t="s">
        <v>1190</v>
      </c>
      <c r="D44" s="443">
        <v>7613364.3300000001</v>
      </c>
      <c r="E44" s="443">
        <v>3747173</v>
      </c>
      <c r="F44" s="439" t="s">
        <v>1186</v>
      </c>
    </row>
    <row r="45" spans="3:7">
      <c r="C45" s="439" t="s">
        <v>1188</v>
      </c>
      <c r="D45" s="443">
        <v>0</v>
      </c>
      <c r="E45" s="443">
        <v>1784927</v>
      </c>
      <c r="F45" s="439" t="s">
        <v>1187</v>
      </c>
    </row>
    <row r="46" spans="3:7">
      <c r="C46" s="439" t="s">
        <v>1189</v>
      </c>
      <c r="D46" s="443">
        <f>SUM(D42:D45)</f>
        <v>20874059.160000026</v>
      </c>
      <c r="E46" s="443">
        <f>SUM(E44:E45)</f>
        <v>5532100</v>
      </c>
      <c r="F46" s="439" t="s">
        <v>1155</v>
      </c>
    </row>
    <row r="47" spans="3:7" ht="30" customHeight="1">
      <c r="C47" s="433" t="s">
        <v>1150</v>
      </c>
      <c r="D47" s="434"/>
      <c r="E47" s="457">
        <f>+D46-E46</f>
        <v>15341959.160000026</v>
      </c>
      <c r="F47" s="433" t="s">
        <v>1156</v>
      </c>
      <c r="G47" s="445"/>
    </row>
    <row r="48" spans="3:7">
      <c r="C48" s="440" t="s">
        <v>1157</v>
      </c>
      <c r="D48" s="438">
        <f>+D46</f>
        <v>20874059.160000026</v>
      </c>
      <c r="E48" s="438">
        <f>+E47+E46</f>
        <v>20874059.160000026</v>
      </c>
      <c r="F48" s="440" t="s">
        <v>1157</v>
      </c>
    </row>
  </sheetData>
  <mergeCells count="8">
    <mergeCell ref="C40:F40"/>
    <mergeCell ref="D2:E2"/>
    <mergeCell ref="C12:F12"/>
    <mergeCell ref="D25:E25"/>
    <mergeCell ref="F29:F30"/>
    <mergeCell ref="D29:D30"/>
    <mergeCell ref="E29:E30"/>
    <mergeCell ref="C23:F23"/>
  </mergeCells>
  <pageMargins left="0.7" right="0.7" top="0.75" bottom="0.75" header="0.3" footer="0.3"/>
  <pageSetup paperSize="9"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253EF3-E008-4CA3-A745-CC17E01AFD44}">
  <dimension ref="D2:K19"/>
  <sheetViews>
    <sheetView showGridLines="0" workbookViewId="0">
      <selection activeCell="D2" sqref="D2:H12"/>
    </sheetView>
  </sheetViews>
  <sheetFormatPr baseColWidth="10" defaultColWidth="11.42578125" defaultRowHeight="15"/>
  <cols>
    <col min="1" max="3" width="11.42578125" style="37"/>
    <col min="4" max="4" width="40.5703125" style="37" customWidth="1"/>
    <col min="5" max="5" width="14.28515625" style="37" bestFit="1" customWidth="1"/>
    <col min="6" max="6" width="4.42578125" style="37" customWidth="1"/>
    <col min="7" max="7" width="40.5703125" style="37" customWidth="1"/>
    <col min="8" max="8" width="13.5703125" style="37" bestFit="1" customWidth="1"/>
    <col min="9" max="16384" width="11.42578125" style="37"/>
  </cols>
  <sheetData>
    <row r="2" spans="4:8">
      <c r="D2" s="426" t="s">
        <v>574</v>
      </c>
      <c r="E2" s="426"/>
      <c r="F2" s="426"/>
      <c r="G2" s="426"/>
      <c r="H2" s="426"/>
    </row>
    <row r="4" spans="4:8">
      <c r="D4" s="426" t="s">
        <v>565</v>
      </c>
      <c r="E4" s="426"/>
      <c r="F4" s="228"/>
      <c r="G4" s="426"/>
      <c r="H4" s="426"/>
    </row>
    <row r="6" spans="4:8" ht="45">
      <c r="D6" s="222" t="s">
        <v>566</v>
      </c>
      <c r="E6" s="225">
        <v>-1891033</v>
      </c>
      <c r="G6" s="222" t="s">
        <v>567</v>
      </c>
      <c r="H6" s="225">
        <v>-4469608</v>
      </c>
    </row>
    <row r="7" spans="4:8" ht="45">
      <c r="D7" s="222" t="s">
        <v>568</v>
      </c>
      <c r="E7" s="225"/>
      <c r="G7" s="222" t="s">
        <v>569</v>
      </c>
      <c r="H7" s="225">
        <v>4428544</v>
      </c>
    </row>
    <row r="8" spans="4:8">
      <c r="D8" s="224" t="s">
        <v>570</v>
      </c>
      <c r="E8" s="225">
        <f>765641.29*0.833333333333333</f>
        <v>638034.40833333309</v>
      </c>
      <c r="G8" s="224"/>
      <c r="H8" s="226"/>
    </row>
    <row r="9" spans="4:8">
      <c r="D9" s="224" t="s">
        <v>571</v>
      </c>
      <c r="E9" s="225">
        <f>2589950.27*10/12</f>
        <v>2158291.8916666666</v>
      </c>
    </row>
    <row r="10" spans="4:8" ht="30">
      <c r="D10" s="222" t="s">
        <v>573</v>
      </c>
      <c r="E10" s="225">
        <f>50000*10/12</f>
        <v>41666.666666666664</v>
      </c>
      <c r="G10" s="222"/>
      <c r="H10" s="226"/>
    </row>
    <row r="11" spans="4:8">
      <c r="E11" s="225"/>
      <c r="H11" s="226"/>
    </row>
    <row r="12" spans="4:8">
      <c r="D12" s="228" t="s">
        <v>572</v>
      </c>
      <c r="E12" s="229">
        <f>SUM(E6:E11)</f>
        <v>946959.96666666644</v>
      </c>
      <c r="F12" s="228"/>
      <c r="G12" s="230" t="s">
        <v>475</v>
      </c>
      <c r="H12" s="229">
        <f>SUM(H6:H8)</f>
        <v>-41064</v>
      </c>
    </row>
    <row r="13" spans="4:8">
      <c r="E13" s="225"/>
      <c r="H13" s="227"/>
    </row>
    <row r="14" spans="4:8">
      <c r="E14" s="223"/>
      <c r="H14" s="227"/>
    </row>
    <row r="19" spans="11:11">
      <c r="K19" s="37">
        <f>10.5-5.7</f>
        <v>4.8</v>
      </c>
    </row>
  </sheetData>
  <mergeCells count="3">
    <mergeCell ref="D4:E4"/>
    <mergeCell ref="G4:H4"/>
    <mergeCell ref="D2:H2"/>
  </mergeCells>
  <pageMargins left="0.7" right="0.7" top="0.75" bottom="0.75" header="0.3" footer="0.3"/>
  <pageSetup paperSize="9"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1FDF93-A92E-434E-9063-1EBAF503FEA3}">
  <dimension ref="A1"/>
  <sheetViews>
    <sheetView workbookViewId="0">
      <selection activeCell="G31" sqref="G31"/>
    </sheetView>
  </sheetViews>
  <sheetFormatPr baseColWidth="10" defaultRowHeight="15"/>
  <sheetData/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3439D9-E970-49C5-B7A3-D5A980CB0423}">
  <dimension ref="A1:Q67"/>
  <sheetViews>
    <sheetView zoomScaleNormal="100" workbookViewId="0">
      <selection activeCell="P25" sqref="P25"/>
    </sheetView>
  </sheetViews>
  <sheetFormatPr baseColWidth="10" defaultRowHeight="12.75"/>
  <cols>
    <col min="1" max="3" width="9.140625" style="79" customWidth="1"/>
    <col min="4" max="4" width="33" style="79" bestFit="1" customWidth="1"/>
    <col min="5" max="15" width="9.140625" style="79" customWidth="1"/>
    <col min="16" max="16" width="33" style="79" bestFit="1" customWidth="1"/>
    <col min="17" max="17" width="11" style="79" bestFit="1" customWidth="1"/>
    <col min="18" max="259" width="9.140625" style="79" customWidth="1"/>
    <col min="260" max="260" width="33" style="79" bestFit="1" customWidth="1"/>
    <col min="261" max="271" width="9.140625" style="79" customWidth="1"/>
    <col min="272" max="272" width="33" style="79" bestFit="1" customWidth="1"/>
    <col min="273" max="273" width="11" style="79" bestFit="1" customWidth="1"/>
    <col min="274" max="515" width="9.140625" style="79" customWidth="1"/>
    <col min="516" max="516" width="33" style="79" bestFit="1" customWidth="1"/>
    <col min="517" max="527" width="9.140625" style="79" customWidth="1"/>
    <col min="528" max="528" width="33" style="79" bestFit="1" customWidth="1"/>
    <col min="529" max="529" width="11" style="79" bestFit="1" customWidth="1"/>
    <col min="530" max="771" width="9.140625" style="79" customWidth="1"/>
    <col min="772" max="772" width="33" style="79" bestFit="1" customWidth="1"/>
    <col min="773" max="783" width="9.140625" style="79" customWidth="1"/>
    <col min="784" max="784" width="33" style="79" bestFit="1" customWidth="1"/>
    <col min="785" max="785" width="11" style="79" bestFit="1" customWidth="1"/>
    <col min="786" max="1027" width="9.140625" style="79" customWidth="1"/>
    <col min="1028" max="1028" width="33" style="79" bestFit="1" customWidth="1"/>
    <col min="1029" max="1039" width="9.140625" style="79" customWidth="1"/>
    <col min="1040" max="1040" width="33" style="79" bestFit="1" customWidth="1"/>
    <col min="1041" max="1041" width="11" style="79" bestFit="1" customWidth="1"/>
    <col min="1042" max="1283" width="9.140625" style="79" customWidth="1"/>
    <col min="1284" max="1284" width="33" style="79" bestFit="1" customWidth="1"/>
    <col min="1285" max="1295" width="9.140625" style="79" customWidth="1"/>
    <col min="1296" max="1296" width="33" style="79" bestFit="1" customWidth="1"/>
    <col min="1297" max="1297" width="11" style="79" bestFit="1" customWidth="1"/>
    <col min="1298" max="1539" width="9.140625" style="79" customWidth="1"/>
    <col min="1540" max="1540" width="33" style="79" bestFit="1" customWidth="1"/>
    <col min="1541" max="1551" width="9.140625" style="79" customWidth="1"/>
    <col min="1552" max="1552" width="33" style="79" bestFit="1" customWidth="1"/>
    <col min="1553" max="1553" width="11" style="79" bestFit="1" customWidth="1"/>
    <col min="1554" max="1795" width="9.140625" style="79" customWidth="1"/>
    <col min="1796" max="1796" width="33" style="79" bestFit="1" customWidth="1"/>
    <col min="1797" max="1807" width="9.140625" style="79" customWidth="1"/>
    <col min="1808" max="1808" width="33" style="79" bestFit="1" customWidth="1"/>
    <col min="1809" max="1809" width="11" style="79" bestFit="1" customWidth="1"/>
    <col min="1810" max="2051" width="9.140625" style="79" customWidth="1"/>
    <col min="2052" max="2052" width="33" style="79" bestFit="1" customWidth="1"/>
    <col min="2053" max="2063" width="9.140625" style="79" customWidth="1"/>
    <col min="2064" max="2064" width="33" style="79" bestFit="1" customWidth="1"/>
    <col min="2065" max="2065" width="11" style="79" bestFit="1" customWidth="1"/>
    <col min="2066" max="2307" width="9.140625" style="79" customWidth="1"/>
    <col min="2308" max="2308" width="33" style="79" bestFit="1" customWidth="1"/>
    <col min="2309" max="2319" width="9.140625" style="79" customWidth="1"/>
    <col min="2320" max="2320" width="33" style="79" bestFit="1" customWidth="1"/>
    <col min="2321" max="2321" width="11" style="79" bestFit="1" customWidth="1"/>
    <col min="2322" max="2563" width="9.140625" style="79" customWidth="1"/>
    <col min="2564" max="2564" width="33" style="79" bestFit="1" customWidth="1"/>
    <col min="2565" max="2575" width="9.140625" style="79" customWidth="1"/>
    <col min="2576" max="2576" width="33" style="79" bestFit="1" customWidth="1"/>
    <col min="2577" max="2577" width="11" style="79" bestFit="1" customWidth="1"/>
    <col min="2578" max="2819" width="9.140625" style="79" customWidth="1"/>
    <col min="2820" max="2820" width="33" style="79" bestFit="1" customWidth="1"/>
    <col min="2821" max="2831" width="9.140625" style="79" customWidth="1"/>
    <col min="2832" max="2832" width="33" style="79" bestFit="1" customWidth="1"/>
    <col min="2833" max="2833" width="11" style="79" bestFit="1" customWidth="1"/>
    <col min="2834" max="3075" width="9.140625" style="79" customWidth="1"/>
    <col min="3076" max="3076" width="33" style="79" bestFit="1" customWidth="1"/>
    <col min="3077" max="3087" width="9.140625" style="79" customWidth="1"/>
    <col min="3088" max="3088" width="33" style="79" bestFit="1" customWidth="1"/>
    <col min="3089" max="3089" width="11" style="79" bestFit="1" customWidth="1"/>
    <col min="3090" max="3331" width="9.140625" style="79" customWidth="1"/>
    <col min="3332" max="3332" width="33" style="79" bestFit="1" customWidth="1"/>
    <col min="3333" max="3343" width="9.140625" style="79" customWidth="1"/>
    <col min="3344" max="3344" width="33" style="79" bestFit="1" customWidth="1"/>
    <col min="3345" max="3345" width="11" style="79" bestFit="1" customWidth="1"/>
    <col min="3346" max="3587" width="9.140625" style="79" customWidth="1"/>
    <col min="3588" max="3588" width="33" style="79" bestFit="1" customWidth="1"/>
    <col min="3589" max="3599" width="9.140625" style="79" customWidth="1"/>
    <col min="3600" max="3600" width="33" style="79" bestFit="1" customWidth="1"/>
    <col min="3601" max="3601" width="11" style="79" bestFit="1" customWidth="1"/>
    <col min="3602" max="3843" width="9.140625" style="79" customWidth="1"/>
    <col min="3844" max="3844" width="33" style="79" bestFit="1" customWidth="1"/>
    <col min="3845" max="3855" width="9.140625" style="79" customWidth="1"/>
    <col min="3856" max="3856" width="33" style="79" bestFit="1" customWidth="1"/>
    <col min="3857" max="3857" width="11" style="79" bestFit="1" customWidth="1"/>
    <col min="3858" max="4099" width="9.140625" style="79" customWidth="1"/>
    <col min="4100" max="4100" width="33" style="79" bestFit="1" customWidth="1"/>
    <col min="4101" max="4111" width="9.140625" style="79" customWidth="1"/>
    <col min="4112" max="4112" width="33" style="79" bestFit="1" customWidth="1"/>
    <col min="4113" max="4113" width="11" style="79" bestFit="1" customWidth="1"/>
    <col min="4114" max="4355" width="9.140625" style="79" customWidth="1"/>
    <col min="4356" max="4356" width="33" style="79" bestFit="1" customWidth="1"/>
    <col min="4357" max="4367" width="9.140625" style="79" customWidth="1"/>
    <col min="4368" max="4368" width="33" style="79" bestFit="1" customWidth="1"/>
    <col min="4369" max="4369" width="11" style="79" bestFit="1" customWidth="1"/>
    <col min="4370" max="4611" width="9.140625" style="79" customWidth="1"/>
    <col min="4612" max="4612" width="33" style="79" bestFit="1" customWidth="1"/>
    <col min="4613" max="4623" width="9.140625" style="79" customWidth="1"/>
    <col min="4624" max="4624" width="33" style="79" bestFit="1" customWidth="1"/>
    <col min="4625" max="4625" width="11" style="79" bestFit="1" customWidth="1"/>
    <col min="4626" max="4867" width="9.140625" style="79" customWidth="1"/>
    <col min="4868" max="4868" width="33" style="79" bestFit="1" customWidth="1"/>
    <col min="4869" max="4879" width="9.140625" style="79" customWidth="1"/>
    <col min="4880" max="4880" width="33" style="79" bestFit="1" customWidth="1"/>
    <col min="4881" max="4881" width="11" style="79" bestFit="1" customWidth="1"/>
    <col min="4882" max="5123" width="9.140625" style="79" customWidth="1"/>
    <col min="5124" max="5124" width="33" style="79" bestFit="1" customWidth="1"/>
    <col min="5125" max="5135" width="9.140625" style="79" customWidth="1"/>
    <col min="5136" max="5136" width="33" style="79" bestFit="1" customWidth="1"/>
    <col min="5137" max="5137" width="11" style="79" bestFit="1" customWidth="1"/>
    <col min="5138" max="5379" width="9.140625" style="79" customWidth="1"/>
    <col min="5380" max="5380" width="33" style="79" bestFit="1" customWidth="1"/>
    <col min="5381" max="5391" width="9.140625" style="79" customWidth="1"/>
    <col min="5392" max="5392" width="33" style="79" bestFit="1" customWidth="1"/>
    <col min="5393" max="5393" width="11" style="79" bestFit="1" customWidth="1"/>
    <col min="5394" max="5635" width="9.140625" style="79" customWidth="1"/>
    <col min="5636" max="5636" width="33" style="79" bestFit="1" customWidth="1"/>
    <col min="5637" max="5647" width="9.140625" style="79" customWidth="1"/>
    <col min="5648" max="5648" width="33" style="79" bestFit="1" customWidth="1"/>
    <col min="5649" max="5649" width="11" style="79" bestFit="1" customWidth="1"/>
    <col min="5650" max="5891" width="9.140625" style="79" customWidth="1"/>
    <col min="5892" max="5892" width="33" style="79" bestFit="1" customWidth="1"/>
    <col min="5893" max="5903" width="9.140625" style="79" customWidth="1"/>
    <col min="5904" max="5904" width="33" style="79" bestFit="1" customWidth="1"/>
    <col min="5905" max="5905" width="11" style="79" bestFit="1" customWidth="1"/>
    <col min="5906" max="6147" width="9.140625" style="79" customWidth="1"/>
    <col min="6148" max="6148" width="33" style="79" bestFit="1" customWidth="1"/>
    <col min="6149" max="6159" width="9.140625" style="79" customWidth="1"/>
    <col min="6160" max="6160" width="33" style="79" bestFit="1" customWidth="1"/>
    <col min="6161" max="6161" width="11" style="79" bestFit="1" customWidth="1"/>
    <col min="6162" max="6403" width="9.140625" style="79" customWidth="1"/>
    <col min="6404" max="6404" width="33" style="79" bestFit="1" customWidth="1"/>
    <col min="6405" max="6415" width="9.140625" style="79" customWidth="1"/>
    <col min="6416" max="6416" width="33" style="79" bestFit="1" customWidth="1"/>
    <col min="6417" max="6417" width="11" style="79" bestFit="1" customWidth="1"/>
    <col min="6418" max="6659" width="9.140625" style="79" customWidth="1"/>
    <col min="6660" max="6660" width="33" style="79" bestFit="1" customWidth="1"/>
    <col min="6661" max="6671" width="9.140625" style="79" customWidth="1"/>
    <col min="6672" max="6672" width="33" style="79" bestFit="1" customWidth="1"/>
    <col min="6673" max="6673" width="11" style="79" bestFit="1" customWidth="1"/>
    <col min="6674" max="6915" width="9.140625" style="79" customWidth="1"/>
    <col min="6916" max="6916" width="33" style="79" bestFit="1" customWidth="1"/>
    <col min="6917" max="6927" width="9.140625" style="79" customWidth="1"/>
    <col min="6928" max="6928" width="33" style="79" bestFit="1" customWidth="1"/>
    <col min="6929" max="6929" width="11" style="79" bestFit="1" customWidth="1"/>
    <col min="6930" max="7171" width="9.140625" style="79" customWidth="1"/>
    <col min="7172" max="7172" width="33" style="79" bestFit="1" customWidth="1"/>
    <col min="7173" max="7183" width="9.140625" style="79" customWidth="1"/>
    <col min="7184" max="7184" width="33" style="79" bestFit="1" customWidth="1"/>
    <col min="7185" max="7185" width="11" style="79" bestFit="1" customWidth="1"/>
    <col min="7186" max="7427" width="9.140625" style="79" customWidth="1"/>
    <col min="7428" max="7428" width="33" style="79" bestFit="1" customWidth="1"/>
    <col min="7429" max="7439" width="9.140625" style="79" customWidth="1"/>
    <col min="7440" max="7440" width="33" style="79" bestFit="1" customWidth="1"/>
    <col min="7441" max="7441" width="11" style="79" bestFit="1" customWidth="1"/>
    <col min="7442" max="7683" width="9.140625" style="79" customWidth="1"/>
    <col min="7684" max="7684" width="33" style="79" bestFit="1" customWidth="1"/>
    <col min="7685" max="7695" width="9.140625" style="79" customWidth="1"/>
    <col min="7696" max="7696" width="33" style="79" bestFit="1" customWidth="1"/>
    <col min="7697" max="7697" width="11" style="79" bestFit="1" customWidth="1"/>
    <col min="7698" max="7939" width="9.140625" style="79" customWidth="1"/>
    <col min="7940" max="7940" width="33" style="79" bestFit="1" customWidth="1"/>
    <col min="7941" max="7951" width="9.140625" style="79" customWidth="1"/>
    <col min="7952" max="7952" width="33" style="79" bestFit="1" customWidth="1"/>
    <col min="7953" max="7953" width="11" style="79" bestFit="1" customWidth="1"/>
    <col min="7954" max="8195" width="9.140625" style="79" customWidth="1"/>
    <col min="8196" max="8196" width="33" style="79" bestFit="1" customWidth="1"/>
    <col min="8197" max="8207" width="9.140625" style="79" customWidth="1"/>
    <col min="8208" max="8208" width="33" style="79" bestFit="1" customWidth="1"/>
    <col min="8209" max="8209" width="11" style="79" bestFit="1" customWidth="1"/>
    <col min="8210" max="8451" width="9.140625" style="79" customWidth="1"/>
    <col min="8452" max="8452" width="33" style="79" bestFit="1" customWidth="1"/>
    <col min="8453" max="8463" width="9.140625" style="79" customWidth="1"/>
    <col min="8464" max="8464" width="33" style="79" bestFit="1" customWidth="1"/>
    <col min="8465" max="8465" width="11" style="79" bestFit="1" customWidth="1"/>
    <col min="8466" max="8707" width="9.140625" style="79" customWidth="1"/>
    <col min="8708" max="8708" width="33" style="79" bestFit="1" customWidth="1"/>
    <col min="8709" max="8719" width="9.140625" style="79" customWidth="1"/>
    <col min="8720" max="8720" width="33" style="79" bestFit="1" customWidth="1"/>
    <col min="8721" max="8721" width="11" style="79" bestFit="1" customWidth="1"/>
    <col min="8722" max="8963" width="9.140625" style="79" customWidth="1"/>
    <col min="8964" max="8964" width="33" style="79" bestFit="1" customWidth="1"/>
    <col min="8965" max="8975" width="9.140625" style="79" customWidth="1"/>
    <col min="8976" max="8976" width="33" style="79" bestFit="1" customWidth="1"/>
    <col min="8977" max="8977" width="11" style="79" bestFit="1" customWidth="1"/>
    <col min="8978" max="9219" width="9.140625" style="79" customWidth="1"/>
    <col min="9220" max="9220" width="33" style="79" bestFit="1" customWidth="1"/>
    <col min="9221" max="9231" width="9.140625" style="79" customWidth="1"/>
    <col min="9232" max="9232" width="33" style="79" bestFit="1" customWidth="1"/>
    <col min="9233" max="9233" width="11" style="79" bestFit="1" customWidth="1"/>
    <col min="9234" max="9475" width="9.140625" style="79" customWidth="1"/>
    <col min="9476" max="9476" width="33" style="79" bestFit="1" customWidth="1"/>
    <col min="9477" max="9487" width="9.140625" style="79" customWidth="1"/>
    <col min="9488" max="9488" width="33" style="79" bestFit="1" customWidth="1"/>
    <col min="9489" max="9489" width="11" style="79" bestFit="1" customWidth="1"/>
    <col min="9490" max="9731" width="9.140625" style="79" customWidth="1"/>
    <col min="9732" max="9732" width="33" style="79" bestFit="1" customWidth="1"/>
    <col min="9733" max="9743" width="9.140625" style="79" customWidth="1"/>
    <col min="9744" max="9744" width="33" style="79" bestFit="1" customWidth="1"/>
    <col min="9745" max="9745" width="11" style="79" bestFit="1" customWidth="1"/>
    <col min="9746" max="9987" width="9.140625" style="79" customWidth="1"/>
    <col min="9988" max="9988" width="33" style="79" bestFit="1" customWidth="1"/>
    <col min="9989" max="9999" width="9.140625" style="79" customWidth="1"/>
    <col min="10000" max="10000" width="33" style="79" bestFit="1" customWidth="1"/>
    <col min="10001" max="10001" width="11" style="79" bestFit="1" customWidth="1"/>
    <col min="10002" max="10243" width="9.140625" style="79" customWidth="1"/>
    <col min="10244" max="10244" width="33" style="79" bestFit="1" customWidth="1"/>
    <col min="10245" max="10255" width="9.140625" style="79" customWidth="1"/>
    <col min="10256" max="10256" width="33" style="79" bestFit="1" customWidth="1"/>
    <col min="10257" max="10257" width="11" style="79" bestFit="1" customWidth="1"/>
    <col min="10258" max="10499" width="9.140625" style="79" customWidth="1"/>
    <col min="10500" max="10500" width="33" style="79" bestFit="1" customWidth="1"/>
    <col min="10501" max="10511" width="9.140625" style="79" customWidth="1"/>
    <col min="10512" max="10512" width="33" style="79" bestFit="1" customWidth="1"/>
    <col min="10513" max="10513" width="11" style="79" bestFit="1" customWidth="1"/>
    <col min="10514" max="10755" width="9.140625" style="79" customWidth="1"/>
    <col min="10756" max="10756" width="33" style="79" bestFit="1" customWidth="1"/>
    <col min="10757" max="10767" width="9.140625" style="79" customWidth="1"/>
    <col min="10768" max="10768" width="33" style="79" bestFit="1" customWidth="1"/>
    <col min="10769" max="10769" width="11" style="79" bestFit="1" customWidth="1"/>
    <col min="10770" max="11011" width="9.140625" style="79" customWidth="1"/>
    <col min="11012" max="11012" width="33" style="79" bestFit="1" customWidth="1"/>
    <col min="11013" max="11023" width="9.140625" style="79" customWidth="1"/>
    <col min="11024" max="11024" width="33" style="79" bestFit="1" customWidth="1"/>
    <col min="11025" max="11025" width="11" style="79" bestFit="1" customWidth="1"/>
    <col min="11026" max="11267" width="9.140625" style="79" customWidth="1"/>
    <col min="11268" max="11268" width="33" style="79" bestFit="1" customWidth="1"/>
    <col min="11269" max="11279" width="9.140625" style="79" customWidth="1"/>
    <col min="11280" max="11280" width="33" style="79" bestFit="1" customWidth="1"/>
    <col min="11281" max="11281" width="11" style="79" bestFit="1" customWidth="1"/>
    <col min="11282" max="11523" width="9.140625" style="79" customWidth="1"/>
    <col min="11524" max="11524" width="33" style="79" bestFit="1" customWidth="1"/>
    <col min="11525" max="11535" width="9.140625" style="79" customWidth="1"/>
    <col min="11536" max="11536" width="33" style="79" bestFit="1" customWidth="1"/>
    <col min="11537" max="11537" width="11" style="79" bestFit="1" customWidth="1"/>
    <col min="11538" max="11779" width="9.140625" style="79" customWidth="1"/>
    <col min="11780" max="11780" width="33" style="79" bestFit="1" customWidth="1"/>
    <col min="11781" max="11791" width="9.140625" style="79" customWidth="1"/>
    <col min="11792" max="11792" width="33" style="79" bestFit="1" customWidth="1"/>
    <col min="11793" max="11793" width="11" style="79" bestFit="1" customWidth="1"/>
    <col min="11794" max="12035" width="9.140625" style="79" customWidth="1"/>
    <col min="12036" max="12036" width="33" style="79" bestFit="1" customWidth="1"/>
    <col min="12037" max="12047" width="9.140625" style="79" customWidth="1"/>
    <col min="12048" max="12048" width="33" style="79" bestFit="1" customWidth="1"/>
    <col min="12049" max="12049" width="11" style="79" bestFit="1" customWidth="1"/>
    <col min="12050" max="12291" width="9.140625" style="79" customWidth="1"/>
    <col min="12292" max="12292" width="33" style="79" bestFit="1" customWidth="1"/>
    <col min="12293" max="12303" width="9.140625" style="79" customWidth="1"/>
    <col min="12304" max="12304" width="33" style="79" bestFit="1" customWidth="1"/>
    <col min="12305" max="12305" width="11" style="79" bestFit="1" customWidth="1"/>
    <col min="12306" max="12547" width="9.140625" style="79" customWidth="1"/>
    <col min="12548" max="12548" width="33" style="79" bestFit="1" customWidth="1"/>
    <col min="12549" max="12559" width="9.140625" style="79" customWidth="1"/>
    <col min="12560" max="12560" width="33" style="79" bestFit="1" customWidth="1"/>
    <col min="12561" max="12561" width="11" style="79" bestFit="1" customWidth="1"/>
    <col min="12562" max="12803" width="9.140625" style="79" customWidth="1"/>
    <col min="12804" max="12804" width="33" style="79" bestFit="1" customWidth="1"/>
    <col min="12805" max="12815" width="9.140625" style="79" customWidth="1"/>
    <col min="12816" max="12816" width="33" style="79" bestFit="1" customWidth="1"/>
    <col min="12817" max="12817" width="11" style="79" bestFit="1" customWidth="1"/>
    <col min="12818" max="13059" width="9.140625" style="79" customWidth="1"/>
    <col min="13060" max="13060" width="33" style="79" bestFit="1" customWidth="1"/>
    <col min="13061" max="13071" width="9.140625" style="79" customWidth="1"/>
    <col min="13072" max="13072" width="33" style="79" bestFit="1" customWidth="1"/>
    <col min="13073" max="13073" width="11" style="79" bestFit="1" customWidth="1"/>
    <col min="13074" max="13315" width="9.140625" style="79" customWidth="1"/>
    <col min="13316" max="13316" width="33" style="79" bestFit="1" customWidth="1"/>
    <col min="13317" max="13327" width="9.140625" style="79" customWidth="1"/>
    <col min="13328" max="13328" width="33" style="79" bestFit="1" customWidth="1"/>
    <col min="13329" max="13329" width="11" style="79" bestFit="1" customWidth="1"/>
    <col min="13330" max="13571" width="9.140625" style="79" customWidth="1"/>
    <col min="13572" max="13572" width="33" style="79" bestFit="1" customWidth="1"/>
    <col min="13573" max="13583" width="9.140625" style="79" customWidth="1"/>
    <col min="13584" max="13584" width="33" style="79" bestFit="1" customWidth="1"/>
    <col min="13585" max="13585" width="11" style="79" bestFit="1" customWidth="1"/>
    <col min="13586" max="13827" width="9.140625" style="79" customWidth="1"/>
    <col min="13828" max="13828" width="33" style="79" bestFit="1" customWidth="1"/>
    <col min="13829" max="13839" width="9.140625" style="79" customWidth="1"/>
    <col min="13840" max="13840" width="33" style="79" bestFit="1" customWidth="1"/>
    <col min="13841" max="13841" width="11" style="79" bestFit="1" customWidth="1"/>
    <col min="13842" max="14083" width="9.140625" style="79" customWidth="1"/>
    <col min="14084" max="14084" width="33" style="79" bestFit="1" customWidth="1"/>
    <col min="14085" max="14095" width="9.140625" style="79" customWidth="1"/>
    <col min="14096" max="14096" width="33" style="79" bestFit="1" customWidth="1"/>
    <col min="14097" max="14097" width="11" style="79" bestFit="1" customWidth="1"/>
    <col min="14098" max="14339" width="9.140625" style="79" customWidth="1"/>
    <col min="14340" max="14340" width="33" style="79" bestFit="1" customWidth="1"/>
    <col min="14341" max="14351" width="9.140625" style="79" customWidth="1"/>
    <col min="14352" max="14352" width="33" style="79" bestFit="1" customWidth="1"/>
    <col min="14353" max="14353" width="11" style="79" bestFit="1" customWidth="1"/>
    <col min="14354" max="14595" width="9.140625" style="79" customWidth="1"/>
    <col min="14596" max="14596" width="33" style="79" bestFit="1" customWidth="1"/>
    <col min="14597" max="14607" width="9.140625" style="79" customWidth="1"/>
    <col min="14608" max="14608" width="33" style="79" bestFit="1" customWidth="1"/>
    <col min="14609" max="14609" width="11" style="79" bestFit="1" customWidth="1"/>
    <col min="14610" max="14851" width="9.140625" style="79" customWidth="1"/>
    <col min="14852" max="14852" width="33" style="79" bestFit="1" customWidth="1"/>
    <col min="14853" max="14863" width="9.140625" style="79" customWidth="1"/>
    <col min="14864" max="14864" width="33" style="79" bestFit="1" customWidth="1"/>
    <col min="14865" max="14865" width="11" style="79" bestFit="1" customWidth="1"/>
    <col min="14866" max="15107" width="9.140625" style="79" customWidth="1"/>
    <col min="15108" max="15108" width="33" style="79" bestFit="1" customWidth="1"/>
    <col min="15109" max="15119" width="9.140625" style="79" customWidth="1"/>
    <col min="15120" max="15120" width="33" style="79" bestFit="1" customWidth="1"/>
    <col min="15121" max="15121" width="11" style="79" bestFit="1" customWidth="1"/>
    <col min="15122" max="15363" width="9.140625" style="79" customWidth="1"/>
    <col min="15364" max="15364" width="33" style="79" bestFit="1" customWidth="1"/>
    <col min="15365" max="15375" width="9.140625" style="79" customWidth="1"/>
    <col min="15376" max="15376" width="33" style="79" bestFit="1" customWidth="1"/>
    <col min="15377" max="15377" width="11" style="79" bestFit="1" customWidth="1"/>
    <col min="15378" max="15619" width="9.140625" style="79" customWidth="1"/>
    <col min="15620" max="15620" width="33" style="79" bestFit="1" customWidth="1"/>
    <col min="15621" max="15631" width="9.140625" style="79" customWidth="1"/>
    <col min="15632" max="15632" width="33" style="79" bestFit="1" customWidth="1"/>
    <col min="15633" max="15633" width="11" style="79" bestFit="1" customWidth="1"/>
    <col min="15634" max="15875" width="9.140625" style="79" customWidth="1"/>
    <col min="15876" max="15876" width="33" style="79" bestFit="1" customWidth="1"/>
    <col min="15877" max="15887" width="9.140625" style="79" customWidth="1"/>
    <col min="15888" max="15888" width="33" style="79" bestFit="1" customWidth="1"/>
    <col min="15889" max="15889" width="11" style="79" bestFit="1" customWidth="1"/>
    <col min="15890" max="16131" width="9.140625" style="79" customWidth="1"/>
    <col min="16132" max="16132" width="33" style="79" bestFit="1" customWidth="1"/>
    <col min="16133" max="16143" width="9.140625" style="79" customWidth="1"/>
    <col min="16144" max="16144" width="33" style="79" bestFit="1" customWidth="1"/>
    <col min="16145" max="16145" width="11" style="79" bestFit="1" customWidth="1"/>
    <col min="16146" max="16384" width="9.140625" style="79" customWidth="1"/>
  </cols>
  <sheetData>
    <row r="1" spans="1:17">
      <c r="A1" s="78" t="s">
        <v>180</v>
      </c>
      <c r="B1" s="78" t="s">
        <v>181</v>
      </c>
      <c r="C1" s="78" t="s">
        <v>182</v>
      </c>
      <c r="D1" s="78" t="s">
        <v>183</v>
      </c>
      <c r="E1" s="78" t="s">
        <v>184</v>
      </c>
      <c r="F1" s="78" t="s">
        <v>185</v>
      </c>
      <c r="G1" s="78" t="s">
        <v>186</v>
      </c>
      <c r="H1" s="78" t="s">
        <v>187</v>
      </c>
      <c r="I1" s="78" t="s">
        <v>188</v>
      </c>
      <c r="J1" s="78" t="s">
        <v>189</v>
      </c>
      <c r="K1" s="78" t="s">
        <v>190</v>
      </c>
      <c r="L1" s="78" t="s">
        <v>191</v>
      </c>
      <c r="M1" s="78" t="s">
        <v>192</v>
      </c>
      <c r="N1" s="78" t="s">
        <v>193</v>
      </c>
      <c r="P1" s="80" t="s">
        <v>194</v>
      </c>
      <c r="Q1" s="81"/>
    </row>
    <row r="2" spans="1:17">
      <c r="A2" s="82" t="s">
        <v>195</v>
      </c>
      <c r="B2" s="82"/>
      <c r="C2" s="82">
        <v>100082</v>
      </c>
      <c r="D2" s="82" t="s">
        <v>196</v>
      </c>
      <c r="E2" s="82">
        <v>3335.5</v>
      </c>
      <c r="F2" s="82">
        <v>0</v>
      </c>
      <c r="G2" s="82" t="s">
        <v>197</v>
      </c>
      <c r="H2" s="82" t="s">
        <v>198</v>
      </c>
      <c r="I2" s="82" t="s">
        <v>199</v>
      </c>
      <c r="J2" s="82" t="s">
        <v>200</v>
      </c>
      <c r="K2" s="82" t="s">
        <v>201</v>
      </c>
      <c r="L2" s="82" t="s">
        <v>200</v>
      </c>
      <c r="M2" s="82" t="s">
        <v>202</v>
      </c>
      <c r="N2" s="82" t="s">
        <v>203</v>
      </c>
      <c r="P2" s="80" t="s">
        <v>183</v>
      </c>
      <c r="Q2" s="81" t="s">
        <v>204</v>
      </c>
    </row>
    <row r="3" spans="1:17">
      <c r="A3" s="82" t="s">
        <v>205</v>
      </c>
      <c r="B3" s="82"/>
      <c r="C3" s="82">
        <v>100205</v>
      </c>
      <c r="D3" s="82" t="s">
        <v>196</v>
      </c>
      <c r="E3" s="82">
        <v>2731.38</v>
      </c>
      <c r="F3" s="82">
        <v>0</v>
      </c>
      <c r="G3" s="82" t="s">
        <v>197</v>
      </c>
      <c r="H3" s="82" t="s">
        <v>198</v>
      </c>
      <c r="I3" s="82" t="s">
        <v>206</v>
      </c>
      <c r="J3" s="82" t="s">
        <v>200</v>
      </c>
      <c r="K3" s="82" t="s">
        <v>201</v>
      </c>
      <c r="L3" s="82" t="s">
        <v>200</v>
      </c>
      <c r="M3" s="82" t="s">
        <v>202</v>
      </c>
      <c r="N3" s="82" t="s">
        <v>203</v>
      </c>
      <c r="P3" s="80" t="s">
        <v>196</v>
      </c>
      <c r="Q3" s="83">
        <v>30256.09</v>
      </c>
    </row>
    <row r="4" spans="1:17">
      <c r="A4" s="82" t="s">
        <v>207</v>
      </c>
      <c r="B4" s="82"/>
      <c r="C4" s="82">
        <v>100566</v>
      </c>
      <c r="D4" s="82" t="s">
        <v>196</v>
      </c>
      <c r="E4" s="82">
        <v>4448.8100000000004</v>
      </c>
      <c r="F4" s="82">
        <v>0</v>
      </c>
      <c r="G4" s="82" t="s">
        <v>197</v>
      </c>
      <c r="H4" s="82" t="s">
        <v>198</v>
      </c>
      <c r="I4" s="82" t="s">
        <v>208</v>
      </c>
      <c r="J4" s="82" t="s">
        <v>200</v>
      </c>
      <c r="K4" s="82" t="s">
        <v>209</v>
      </c>
      <c r="L4" s="82" t="s">
        <v>200</v>
      </c>
      <c r="M4" s="82" t="s">
        <v>202</v>
      </c>
      <c r="N4" s="82" t="s">
        <v>203</v>
      </c>
      <c r="P4" s="84" t="s">
        <v>210</v>
      </c>
      <c r="Q4" s="85">
        <v>1210045.4200000002</v>
      </c>
    </row>
    <row r="5" spans="1:17">
      <c r="A5" s="82" t="s">
        <v>211</v>
      </c>
      <c r="B5" s="82"/>
      <c r="C5" s="82">
        <v>100744</v>
      </c>
      <c r="D5" s="82" t="s">
        <v>196</v>
      </c>
      <c r="E5" s="82">
        <v>536.38</v>
      </c>
      <c r="F5" s="82">
        <v>0</v>
      </c>
      <c r="G5" s="82" t="s">
        <v>197</v>
      </c>
      <c r="H5" s="82" t="s">
        <v>198</v>
      </c>
      <c r="I5" s="82" t="s">
        <v>212</v>
      </c>
      <c r="J5" s="82" t="s">
        <v>200</v>
      </c>
      <c r="K5" s="82" t="s">
        <v>213</v>
      </c>
      <c r="L5" s="82" t="s">
        <v>200</v>
      </c>
      <c r="M5" s="82" t="s">
        <v>202</v>
      </c>
      <c r="N5" s="82" t="s">
        <v>203</v>
      </c>
      <c r="P5" s="84" t="s">
        <v>214</v>
      </c>
      <c r="Q5" s="85">
        <v>1028937.65</v>
      </c>
    </row>
    <row r="6" spans="1:17">
      <c r="A6" s="82" t="s">
        <v>215</v>
      </c>
      <c r="B6" s="82"/>
      <c r="C6" s="82">
        <v>100744</v>
      </c>
      <c r="D6" s="82" t="s">
        <v>196</v>
      </c>
      <c r="E6" s="82">
        <v>2197.98</v>
      </c>
      <c r="F6" s="82">
        <v>0</v>
      </c>
      <c r="G6" s="82" t="s">
        <v>197</v>
      </c>
      <c r="H6" s="82" t="s">
        <v>198</v>
      </c>
      <c r="I6" s="82" t="s">
        <v>212</v>
      </c>
      <c r="J6" s="82" t="s">
        <v>200</v>
      </c>
      <c r="K6" s="82" t="s">
        <v>213</v>
      </c>
      <c r="L6" s="82" t="s">
        <v>200</v>
      </c>
      <c r="M6" s="82" t="s">
        <v>202</v>
      </c>
      <c r="N6" s="82" t="s">
        <v>203</v>
      </c>
      <c r="P6" s="84" t="s">
        <v>216</v>
      </c>
      <c r="Q6" s="86">
        <v>251161.36</v>
      </c>
    </row>
    <row r="7" spans="1:17">
      <c r="A7" s="82" t="s">
        <v>217</v>
      </c>
      <c r="B7" s="82"/>
      <c r="C7" s="82">
        <v>100890</v>
      </c>
      <c r="D7" s="82" t="s">
        <v>196</v>
      </c>
      <c r="E7" s="82">
        <v>3921.37</v>
      </c>
      <c r="F7" s="82">
        <v>0</v>
      </c>
      <c r="G7" s="82" t="s">
        <v>197</v>
      </c>
      <c r="H7" s="82" t="s">
        <v>198</v>
      </c>
      <c r="I7" s="82" t="s">
        <v>218</v>
      </c>
      <c r="J7" s="82" t="s">
        <v>200</v>
      </c>
      <c r="K7" s="82" t="s">
        <v>219</v>
      </c>
      <c r="L7" s="82" t="s">
        <v>200</v>
      </c>
      <c r="M7" s="82" t="s">
        <v>202</v>
      </c>
      <c r="N7" s="82" t="s">
        <v>203</v>
      </c>
      <c r="P7" s="84" t="s">
        <v>220</v>
      </c>
      <c r="Q7" s="86">
        <v>151278.86000000002</v>
      </c>
    </row>
    <row r="8" spans="1:17">
      <c r="A8" s="82" t="s">
        <v>221</v>
      </c>
      <c r="B8" s="82"/>
      <c r="C8" s="82">
        <v>101224</v>
      </c>
      <c r="D8" s="82" t="s">
        <v>196</v>
      </c>
      <c r="E8" s="82">
        <v>2116.35</v>
      </c>
      <c r="F8" s="82">
        <v>0</v>
      </c>
      <c r="G8" s="82" t="s">
        <v>197</v>
      </c>
      <c r="H8" s="82" t="s">
        <v>198</v>
      </c>
      <c r="I8" s="82" t="s">
        <v>222</v>
      </c>
      <c r="J8" s="82" t="s">
        <v>200</v>
      </c>
      <c r="K8" s="82" t="s">
        <v>223</v>
      </c>
      <c r="L8" s="82" t="s">
        <v>200</v>
      </c>
      <c r="M8" s="82" t="s">
        <v>202</v>
      </c>
      <c r="N8" s="82" t="s">
        <v>203</v>
      </c>
      <c r="P8" s="84" t="s">
        <v>224</v>
      </c>
      <c r="Q8" s="86">
        <v>25620.47</v>
      </c>
    </row>
    <row r="9" spans="1:17">
      <c r="A9" s="82" t="s">
        <v>225</v>
      </c>
      <c r="B9" s="82"/>
      <c r="C9" s="82">
        <v>101386</v>
      </c>
      <c r="D9" s="82" t="s">
        <v>196</v>
      </c>
      <c r="E9" s="82">
        <v>1927.37</v>
      </c>
      <c r="F9" s="82">
        <v>0</v>
      </c>
      <c r="G9" s="82" t="s">
        <v>197</v>
      </c>
      <c r="H9" s="82" t="s">
        <v>198</v>
      </c>
      <c r="I9" s="82" t="s">
        <v>226</v>
      </c>
      <c r="J9" s="82" t="s">
        <v>200</v>
      </c>
      <c r="K9" s="82" t="s">
        <v>227</v>
      </c>
      <c r="L9" s="82" t="s">
        <v>200</v>
      </c>
      <c r="M9" s="82" t="s">
        <v>202</v>
      </c>
      <c r="N9" s="82" t="s">
        <v>203</v>
      </c>
      <c r="P9" s="87" t="s">
        <v>228</v>
      </c>
      <c r="Q9" s="88">
        <v>2697299.85</v>
      </c>
    </row>
    <row r="10" spans="1:17">
      <c r="A10" s="82" t="s">
        <v>229</v>
      </c>
      <c r="B10" s="82"/>
      <c r="C10" s="82">
        <v>101734</v>
      </c>
      <c r="D10" s="82" t="s">
        <v>196</v>
      </c>
      <c r="E10" s="82">
        <v>2118.42</v>
      </c>
      <c r="F10" s="82">
        <v>0</v>
      </c>
      <c r="G10" s="82" t="s">
        <v>197</v>
      </c>
      <c r="H10" s="82" t="s">
        <v>198</v>
      </c>
      <c r="I10" s="82" t="s">
        <v>230</v>
      </c>
      <c r="J10" s="82" t="s">
        <v>200</v>
      </c>
      <c r="K10" s="82" t="s">
        <v>231</v>
      </c>
      <c r="L10" s="82" t="s">
        <v>200</v>
      </c>
      <c r="M10" s="82" t="s">
        <v>202</v>
      </c>
      <c r="N10" s="82" t="s">
        <v>203</v>
      </c>
    </row>
    <row r="11" spans="1:17">
      <c r="A11" s="82" t="s">
        <v>232</v>
      </c>
      <c r="B11" s="82"/>
      <c r="C11" s="82">
        <v>102028</v>
      </c>
      <c r="D11" s="82" t="s">
        <v>196</v>
      </c>
      <c r="E11" s="82">
        <v>2202.6999999999998</v>
      </c>
      <c r="F11" s="82">
        <v>0</v>
      </c>
      <c r="G11" s="82" t="s">
        <v>197</v>
      </c>
      <c r="H11" s="82" t="s">
        <v>198</v>
      </c>
      <c r="I11" s="82" t="s">
        <v>233</v>
      </c>
      <c r="J11" s="82" t="s">
        <v>200</v>
      </c>
      <c r="K11" s="82" t="s">
        <v>234</v>
      </c>
      <c r="L11" s="82" t="s">
        <v>200</v>
      </c>
      <c r="M11" s="82" t="s">
        <v>202</v>
      </c>
      <c r="N11" s="82" t="s">
        <v>203</v>
      </c>
    </row>
    <row r="12" spans="1:17">
      <c r="A12" s="82" t="s">
        <v>235</v>
      </c>
      <c r="B12" s="82"/>
      <c r="C12" s="82">
        <v>102028</v>
      </c>
      <c r="D12" s="82" t="s">
        <v>196</v>
      </c>
      <c r="E12" s="82">
        <v>2377.4699999999998</v>
      </c>
      <c r="F12" s="82">
        <v>0</v>
      </c>
      <c r="G12" s="82" t="s">
        <v>197</v>
      </c>
      <c r="H12" s="82" t="s">
        <v>198</v>
      </c>
      <c r="I12" s="82" t="s">
        <v>233</v>
      </c>
      <c r="J12" s="82" t="s">
        <v>200</v>
      </c>
      <c r="K12" s="82" t="s">
        <v>234</v>
      </c>
      <c r="L12" s="82" t="s">
        <v>200</v>
      </c>
      <c r="M12" s="82" t="s">
        <v>202</v>
      </c>
      <c r="N12" s="82" t="s">
        <v>203</v>
      </c>
    </row>
    <row r="13" spans="1:17">
      <c r="A13" s="82" t="s">
        <v>236</v>
      </c>
      <c r="B13" s="82"/>
      <c r="C13" s="82">
        <v>102028</v>
      </c>
      <c r="D13" s="82" t="s">
        <v>196</v>
      </c>
      <c r="E13" s="82">
        <v>2342.36</v>
      </c>
      <c r="F13" s="82">
        <v>0</v>
      </c>
      <c r="G13" s="82" t="s">
        <v>197</v>
      </c>
      <c r="H13" s="82" t="s">
        <v>198</v>
      </c>
      <c r="I13" s="82" t="s">
        <v>233</v>
      </c>
      <c r="J13" s="82" t="s">
        <v>200</v>
      </c>
      <c r="K13" s="82" t="s">
        <v>234</v>
      </c>
      <c r="L13" s="82" t="s">
        <v>200</v>
      </c>
      <c r="M13" s="82" t="s">
        <v>202</v>
      </c>
      <c r="N13" s="82" t="s">
        <v>203</v>
      </c>
    </row>
    <row r="14" spans="1:17">
      <c r="A14" s="82" t="s">
        <v>237</v>
      </c>
      <c r="B14" s="82"/>
      <c r="C14" s="82">
        <v>100032</v>
      </c>
      <c r="D14" s="82" t="s">
        <v>210</v>
      </c>
      <c r="E14" s="82">
        <v>105302.73</v>
      </c>
      <c r="F14" s="82">
        <v>0</v>
      </c>
      <c r="G14" s="82" t="s">
        <v>197</v>
      </c>
      <c r="H14" s="82" t="s">
        <v>198</v>
      </c>
      <c r="I14" s="82" t="s">
        <v>238</v>
      </c>
      <c r="J14" s="82" t="s">
        <v>200</v>
      </c>
      <c r="K14" s="82" t="s">
        <v>239</v>
      </c>
      <c r="L14" s="82" t="s">
        <v>200</v>
      </c>
      <c r="M14" s="82" t="s">
        <v>202</v>
      </c>
      <c r="N14" s="82" t="s">
        <v>203</v>
      </c>
      <c r="Q14" s="79">
        <f>+GETPIVOTDATA("Montant TTC",$P$1,"Fournisseur","004324 - SELAS DOCTEUR BERRAF")+GETPIVOTDATA("Montant TTC",$P$1,"Fournisseur","003909 - DR KUTSAROV")+GETPIVOTDATA("Montant TTC",$P$1,"Fournisseur","003873 - Dr JORROT")</f>
        <v>2269239.16</v>
      </c>
    </row>
    <row r="15" spans="1:17">
      <c r="A15" s="82" t="s">
        <v>240</v>
      </c>
      <c r="B15" s="82"/>
      <c r="C15" s="82">
        <v>100205</v>
      </c>
      <c r="D15" s="82" t="s">
        <v>210</v>
      </c>
      <c r="E15" s="82">
        <v>107181.51</v>
      </c>
      <c r="F15" s="82">
        <v>0</v>
      </c>
      <c r="G15" s="82" t="s">
        <v>197</v>
      </c>
      <c r="H15" s="82" t="s">
        <v>198</v>
      </c>
      <c r="I15" s="82" t="s">
        <v>206</v>
      </c>
      <c r="J15" s="82" t="s">
        <v>200</v>
      </c>
      <c r="K15" s="82" t="s">
        <v>201</v>
      </c>
      <c r="L15" s="82" t="s">
        <v>200</v>
      </c>
      <c r="M15" s="82" t="s">
        <v>202</v>
      </c>
      <c r="N15" s="82" t="s">
        <v>203</v>
      </c>
    </row>
    <row r="16" spans="1:17">
      <c r="A16" s="82" t="s">
        <v>241</v>
      </c>
      <c r="B16" s="82"/>
      <c r="C16" s="82">
        <v>100403</v>
      </c>
      <c r="D16" s="82" t="s">
        <v>210</v>
      </c>
      <c r="E16" s="82">
        <v>118045.12</v>
      </c>
      <c r="F16" s="82">
        <v>0</v>
      </c>
      <c r="G16" s="82" t="s">
        <v>197</v>
      </c>
      <c r="H16" s="82" t="s">
        <v>198</v>
      </c>
      <c r="I16" s="82" t="s">
        <v>242</v>
      </c>
      <c r="J16" s="82" t="s">
        <v>200</v>
      </c>
      <c r="K16" s="82" t="s">
        <v>243</v>
      </c>
      <c r="L16" s="82" t="s">
        <v>200</v>
      </c>
      <c r="M16" s="82" t="s">
        <v>202</v>
      </c>
      <c r="N16" s="82" t="s">
        <v>203</v>
      </c>
    </row>
    <row r="17" spans="1:14">
      <c r="A17" s="82" t="s">
        <v>244</v>
      </c>
      <c r="B17" s="82"/>
      <c r="C17" s="82">
        <v>100746</v>
      </c>
      <c r="D17" s="82" t="s">
        <v>210</v>
      </c>
      <c r="E17" s="82">
        <v>114900.06</v>
      </c>
      <c r="F17" s="82">
        <v>0</v>
      </c>
      <c r="G17" s="82" t="s">
        <v>197</v>
      </c>
      <c r="H17" s="82" t="s">
        <v>198</v>
      </c>
      <c r="I17" s="82" t="s">
        <v>212</v>
      </c>
      <c r="J17" s="82" t="s">
        <v>200</v>
      </c>
      <c r="K17" s="82" t="s">
        <v>213</v>
      </c>
      <c r="L17" s="82" t="s">
        <v>200</v>
      </c>
      <c r="M17" s="82" t="s">
        <v>202</v>
      </c>
      <c r="N17" s="82" t="s">
        <v>203</v>
      </c>
    </row>
    <row r="18" spans="1:14">
      <c r="A18" s="82" t="s">
        <v>245</v>
      </c>
      <c r="B18" s="82"/>
      <c r="C18" s="82">
        <v>100841</v>
      </c>
      <c r="D18" s="82" t="s">
        <v>210</v>
      </c>
      <c r="E18" s="82">
        <v>90360.1</v>
      </c>
      <c r="F18" s="82">
        <v>0</v>
      </c>
      <c r="G18" s="82" t="s">
        <v>197</v>
      </c>
      <c r="H18" s="82" t="s">
        <v>198</v>
      </c>
      <c r="I18" s="82" t="s">
        <v>246</v>
      </c>
      <c r="J18" s="82" t="s">
        <v>200</v>
      </c>
      <c r="K18" s="82" t="s">
        <v>219</v>
      </c>
      <c r="L18" s="82" t="s">
        <v>200</v>
      </c>
      <c r="M18" s="82" t="s">
        <v>202</v>
      </c>
      <c r="N18" s="82" t="s">
        <v>203</v>
      </c>
    </row>
    <row r="19" spans="1:14">
      <c r="A19" s="82" t="s">
        <v>247</v>
      </c>
      <c r="B19" s="82"/>
      <c r="C19" s="82">
        <v>101339</v>
      </c>
      <c r="D19" s="82" t="s">
        <v>210</v>
      </c>
      <c r="E19" s="82">
        <v>118668.26</v>
      </c>
      <c r="F19" s="82">
        <v>0</v>
      </c>
      <c r="G19" s="82" t="s">
        <v>197</v>
      </c>
      <c r="H19" s="82" t="s">
        <v>198</v>
      </c>
      <c r="I19" s="82" t="s">
        <v>248</v>
      </c>
      <c r="J19" s="82" t="s">
        <v>200</v>
      </c>
      <c r="K19" s="82" t="s">
        <v>249</v>
      </c>
      <c r="L19" s="82" t="s">
        <v>200</v>
      </c>
      <c r="M19" s="82" t="s">
        <v>202</v>
      </c>
      <c r="N19" s="82" t="s">
        <v>203</v>
      </c>
    </row>
    <row r="20" spans="1:14">
      <c r="A20" s="82" t="s">
        <v>250</v>
      </c>
      <c r="B20" s="82"/>
      <c r="C20" s="82">
        <v>101341</v>
      </c>
      <c r="D20" s="82" t="s">
        <v>210</v>
      </c>
      <c r="E20" s="82">
        <v>90902.83</v>
      </c>
      <c r="F20" s="82">
        <v>0</v>
      </c>
      <c r="G20" s="82" t="s">
        <v>197</v>
      </c>
      <c r="H20" s="82" t="s">
        <v>198</v>
      </c>
      <c r="I20" s="82" t="s">
        <v>248</v>
      </c>
      <c r="J20" s="82" t="s">
        <v>200</v>
      </c>
      <c r="K20" s="82" t="s">
        <v>249</v>
      </c>
      <c r="L20" s="82" t="s">
        <v>200</v>
      </c>
      <c r="M20" s="82" t="s">
        <v>202</v>
      </c>
      <c r="N20" s="82" t="s">
        <v>203</v>
      </c>
    </row>
    <row r="21" spans="1:14">
      <c r="A21" s="82" t="s">
        <v>251</v>
      </c>
      <c r="B21" s="82"/>
      <c r="C21" s="82">
        <v>101387</v>
      </c>
      <c r="D21" s="82" t="s">
        <v>210</v>
      </c>
      <c r="E21" s="82">
        <v>84487.25</v>
      </c>
      <c r="F21" s="82">
        <v>0</v>
      </c>
      <c r="G21" s="82" t="s">
        <v>197</v>
      </c>
      <c r="H21" s="82" t="s">
        <v>198</v>
      </c>
      <c r="I21" s="82" t="s">
        <v>226</v>
      </c>
      <c r="J21" s="82" t="s">
        <v>200</v>
      </c>
      <c r="K21" s="82" t="s">
        <v>227</v>
      </c>
      <c r="L21" s="82" t="s">
        <v>200</v>
      </c>
      <c r="M21" s="82" t="s">
        <v>202</v>
      </c>
      <c r="N21" s="82" t="s">
        <v>203</v>
      </c>
    </row>
    <row r="22" spans="1:14">
      <c r="A22" s="82" t="s">
        <v>252</v>
      </c>
      <c r="B22" s="82"/>
      <c r="C22" s="82">
        <v>101733</v>
      </c>
      <c r="D22" s="82" t="s">
        <v>210</v>
      </c>
      <c r="E22" s="82">
        <v>106181.16</v>
      </c>
      <c r="F22" s="82">
        <v>0</v>
      </c>
      <c r="G22" s="82" t="s">
        <v>197</v>
      </c>
      <c r="H22" s="82" t="s">
        <v>198</v>
      </c>
      <c r="I22" s="82" t="s">
        <v>253</v>
      </c>
      <c r="J22" s="82" t="s">
        <v>200</v>
      </c>
      <c r="K22" s="82" t="s">
        <v>254</v>
      </c>
      <c r="L22" s="82" t="s">
        <v>200</v>
      </c>
      <c r="M22" s="82" t="s">
        <v>202</v>
      </c>
      <c r="N22" s="82" t="s">
        <v>203</v>
      </c>
    </row>
    <row r="23" spans="1:14">
      <c r="A23" s="82" t="s">
        <v>255</v>
      </c>
      <c r="B23" s="82"/>
      <c r="C23" s="82">
        <v>101735</v>
      </c>
      <c r="D23" s="82" t="s">
        <v>210</v>
      </c>
      <c r="E23" s="82">
        <v>91369.31</v>
      </c>
      <c r="F23" s="82">
        <v>0</v>
      </c>
      <c r="G23" s="82" t="s">
        <v>197</v>
      </c>
      <c r="H23" s="82" t="s">
        <v>198</v>
      </c>
      <c r="I23" s="82" t="s">
        <v>230</v>
      </c>
      <c r="J23" s="82" t="s">
        <v>200</v>
      </c>
      <c r="K23" s="82" t="s">
        <v>231</v>
      </c>
      <c r="L23" s="82" t="s">
        <v>200</v>
      </c>
      <c r="M23" s="82" t="s">
        <v>202</v>
      </c>
      <c r="N23" s="82" t="s">
        <v>203</v>
      </c>
    </row>
    <row r="24" spans="1:14">
      <c r="A24" s="82" t="s">
        <v>256</v>
      </c>
      <c r="B24" s="82"/>
      <c r="C24" s="82">
        <v>101878</v>
      </c>
      <c r="D24" s="82" t="s">
        <v>210</v>
      </c>
      <c r="E24" s="82">
        <v>90781.26</v>
      </c>
      <c r="F24" s="82">
        <v>0</v>
      </c>
      <c r="G24" s="82" t="s">
        <v>197</v>
      </c>
      <c r="H24" s="82" t="s">
        <v>198</v>
      </c>
      <c r="I24" s="82" t="s">
        <v>257</v>
      </c>
      <c r="J24" s="82" t="s">
        <v>200</v>
      </c>
      <c r="K24" s="82" t="s">
        <v>258</v>
      </c>
      <c r="L24" s="82" t="s">
        <v>200</v>
      </c>
      <c r="M24" s="82" t="s">
        <v>202</v>
      </c>
      <c r="N24" s="82" t="s">
        <v>203</v>
      </c>
    </row>
    <row r="25" spans="1:14">
      <c r="A25" s="82" t="s">
        <v>259</v>
      </c>
      <c r="B25" s="82"/>
      <c r="C25" s="82">
        <v>102104</v>
      </c>
      <c r="D25" s="82" t="s">
        <v>210</v>
      </c>
      <c r="E25" s="82">
        <v>91865.83</v>
      </c>
      <c r="F25" s="82">
        <v>0</v>
      </c>
      <c r="G25" s="82" t="s">
        <v>197</v>
      </c>
      <c r="H25" s="82" t="s">
        <v>198</v>
      </c>
      <c r="I25" s="82" t="s">
        <v>260</v>
      </c>
      <c r="J25" s="82" t="s">
        <v>200</v>
      </c>
      <c r="K25" s="82" t="s">
        <v>261</v>
      </c>
      <c r="L25" s="82" t="s">
        <v>200</v>
      </c>
      <c r="M25" s="82" t="s">
        <v>202</v>
      </c>
      <c r="N25" s="82" t="s">
        <v>203</v>
      </c>
    </row>
    <row r="26" spans="1:14">
      <c r="A26" s="82" t="s">
        <v>262</v>
      </c>
      <c r="B26" s="82"/>
      <c r="C26" s="82">
        <v>100044</v>
      </c>
      <c r="D26" s="82" t="s">
        <v>214</v>
      </c>
      <c r="E26" s="82">
        <v>94332.3</v>
      </c>
      <c r="F26" s="82">
        <v>0</v>
      </c>
      <c r="G26" s="82" t="s">
        <v>197</v>
      </c>
      <c r="H26" s="82" t="s">
        <v>198</v>
      </c>
      <c r="I26" s="82" t="s">
        <v>263</v>
      </c>
      <c r="J26" s="82" t="s">
        <v>200</v>
      </c>
      <c r="K26" s="82" t="s">
        <v>264</v>
      </c>
      <c r="L26" s="82" t="s">
        <v>200</v>
      </c>
      <c r="M26" s="82" t="s">
        <v>202</v>
      </c>
      <c r="N26" s="82" t="s">
        <v>203</v>
      </c>
    </row>
    <row r="27" spans="1:14">
      <c r="A27" s="82" t="s">
        <v>265</v>
      </c>
      <c r="B27" s="82"/>
      <c r="C27" s="82">
        <v>100205</v>
      </c>
      <c r="D27" s="82" t="s">
        <v>214</v>
      </c>
      <c r="E27" s="82">
        <v>82296.92</v>
      </c>
      <c r="F27" s="82">
        <v>0</v>
      </c>
      <c r="G27" s="82" t="s">
        <v>197</v>
      </c>
      <c r="H27" s="82" t="s">
        <v>198</v>
      </c>
      <c r="I27" s="82" t="s">
        <v>206</v>
      </c>
      <c r="J27" s="82" t="s">
        <v>200</v>
      </c>
      <c r="K27" s="82" t="s">
        <v>201</v>
      </c>
      <c r="L27" s="82" t="s">
        <v>200</v>
      </c>
      <c r="M27" s="82" t="s">
        <v>202</v>
      </c>
      <c r="N27" s="82" t="s">
        <v>203</v>
      </c>
    </row>
    <row r="28" spans="1:14">
      <c r="A28" s="82" t="s">
        <v>266</v>
      </c>
      <c r="B28" s="82"/>
      <c r="C28" s="82">
        <v>100488</v>
      </c>
      <c r="D28" s="82" t="s">
        <v>214</v>
      </c>
      <c r="E28" s="82">
        <v>106766.79</v>
      </c>
      <c r="F28" s="82">
        <v>0</v>
      </c>
      <c r="G28" s="82" t="s">
        <v>197</v>
      </c>
      <c r="H28" s="82" t="s">
        <v>198</v>
      </c>
      <c r="I28" s="82" t="s">
        <v>267</v>
      </c>
      <c r="J28" s="82" t="s">
        <v>200</v>
      </c>
      <c r="K28" s="82" t="s">
        <v>268</v>
      </c>
      <c r="L28" s="82" t="s">
        <v>200</v>
      </c>
      <c r="M28" s="82" t="s">
        <v>202</v>
      </c>
      <c r="N28" s="82" t="s">
        <v>203</v>
      </c>
    </row>
    <row r="29" spans="1:14">
      <c r="A29" s="82" t="s">
        <v>269</v>
      </c>
      <c r="B29" s="82"/>
      <c r="C29" s="82">
        <v>100745</v>
      </c>
      <c r="D29" s="82" t="s">
        <v>214</v>
      </c>
      <c r="E29" s="82">
        <v>110625.44</v>
      </c>
      <c r="F29" s="82">
        <v>0</v>
      </c>
      <c r="G29" s="82" t="s">
        <v>197</v>
      </c>
      <c r="H29" s="82" t="s">
        <v>198</v>
      </c>
      <c r="I29" s="82" t="s">
        <v>212</v>
      </c>
      <c r="J29" s="82" t="s">
        <v>200</v>
      </c>
      <c r="K29" s="82" t="s">
        <v>270</v>
      </c>
      <c r="L29" s="82" t="s">
        <v>200</v>
      </c>
      <c r="M29" s="82" t="s">
        <v>202</v>
      </c>
      <c r="N29" s="82" t="s">
        <v>203</v>
      </c>
    </row>
    <row r="30" spans="1:14">
      <c r="A30" s="82" t="s">
        <v>271</v>
      </c>
      <c r="B30" s="82"/>
      <c r="C30" s="82">
        <v>100885</v>
      </c>
      <c r="D30" s="82" t="s">
        <v>214</v>
      </c>
      <c r="E30" s="82">
        <v>96467.14</v>
      </c>
      <c r="F30" s="82">
        <v>0</v>
      </c>
      <c r="G30" s="82" t="s">
        <v>197</v>
      </c>
      <c r="H30" s="82" t="s">
        <v>198</v>
      </c>
      <c r="I30" s="82" t="s">
        <v>272</v>
      </c>
      <c r="J30" s="82" t="s">
        <v>200</v>
      </c>
      <c r="K30" s="82" t="s">
        <v>219</v>
      </c>
      <c r="L30" s="82" t="s">
        <v>200</v>
      </c>
      <c r="M30" s="82" t="s">
        <v>202</v>
      </c>
      <c r="N30" s="82" t="s">
        <v>203</v>
      </c>
    </row>
    <row r="31" spans="1:14">
      <c r="A31" s="82" t="s">
        <v>273</v>
      </c>
      <c r="B31" s="82"/>
      <c r="C31" s="82">
        <v>101340</v>
      </c>
      <c r="D31" s="82" t="s">
        <v>214</v>
      </c>
      <c r="E31" s="82">
        <v>82419.990000000005</v>
      </c>
      <c r="F31" s="82">
        <v>0</v>
      </c>
      <c r="G31" s="82" t="s">
        <v>197</v>
      </c>
      <c r="H31" s="82" t="s">
        <v>198</v>
      </c>
      <c r="I31" s="82" t="s">
        <v>248</v>
      </c>
      <c r="J31" s="82" t="s">
        <v>200</v>
      </c>
      <c r="K31" s="82" t="s">
        <v>249</v>
      </c>
      <c r="L31" s="82" t="s">
        <v>200</v>
      </c>
      <c r="M31" s="82" t="s">
        <v>202</v>
      </c>
      <c r="N31" s="82" t="s">
        <v>203</v>
      </c>
    </row>
    <row r="32" spans="1:14">
      <c r="A32" s="82" t="s">
        <v>274</v>
      </c>
      <c r="B32" s="82"/>
      <c r="C32" s="82">
        <v>101570</v>
      </c>
      <c r="D32" s="82" t="s">
        <v>214</v>
      </c>
      <c r="E32" s="82">
        <v>108333.79</v>
      </c>
      <c r="F32" s="82">
        <v>0</v>
      </c>
      <c r="G32" s="82" t="s">
        <v>197</v>
      </c>
      <c r="H32" s="82" t="s">
        <v>198</v>
      </c>
      <c r="I32" s="82" t="s">
        <v>275</v>
      </c>
      <c r="J32" s="82" t="s">
        <v>200</v>
      </c>
      <c r="K32" s="82" t="s">
        <v>276</v>
      </c>
      <c r="L32" s="82" t="s">
        <v>200</v>
      </c>
      <c r="M32" s="82" t="s">
        <v>202</v>
      </c>
      <c r="N32" s="82" t="s">
        <v>203</v>
      </c>
    </row>
    <row r="33" spans="1:14">
      <c r="A33" s="82" t="s">
        <v>277</v>
      </c>
      <c r="B33" s="82"/>
      <c r="C33" s="82">
        <v>101835</v>
      </c>
      <c r="D33" s="82" t="s">
        <v>214</v>
      </c>
      <c r="E33" s="82">
        <v>80223.39</v>
      </c>
      <c r="F33" s="82">
        <v>0</v>
      </c>
      <c r="G33" s="82" t="s">
        <v>197</v>
      </c>
      <c r="H33" s="82" t="s">
        <v>198</v>
      </c>
      <c r="I33" s="82" t="s">
        <v>278</v>
      </c>
      <c r="J33" s="82" t="s">
        <v>200</v>
      </c>
      <c r="K33" s="82" t="s">
        <v>279</v>
      </c>
      <c r="L33" s="82" t="s">
        <v>200</v>
      </c>
      <c r="M33" s="82" t="s">
        <v>202</v>
      </c>
      <c r="N33" s="82" t="s">
        <v>203</v>
      </c>
    </row>
    <row r="34" spans="1:14">
      <c r="A34" s="82" t="s">
        <v>280</v>
      </c>
      <c r="B34" s="82"/>
      <c r="C34" s="82">
        <v>101837</v>
      </c>
      <c r="D34" s="82" t="s">
        <v>214</v>
      </c>
      <c r="E34" s="82">
        <v>131450.56</v>
      </c>
      <c r="F34" s="82">
        <v>0</v>
      </c>
      <c r="G34" s="82" t="s">
        <v>197</v>
      </c>
      <c r="H34" s="82" t="s">
        <v>198</v>
      </c>
      <c r="I34" s="82" t="s">
        <v>278</v>
      </c>
      <c r="J34" s="82" t="s">
        <v>200</v>
      </c>
      <c r="K34" s="82" t="s">
        <v>258</v>
      </c>
      <c r="L34" s="82" t="s">
        <v>200</v>
      </c>
      <c r="M34" s="82" t="s">
        <v>202</v>
      </c>
      <c r="N34" s="82" t="s">
        <v>203</v>
      </c>
    </row>
    <row r="35" spans="1:14">
      <c r="A35" s="82" t="s">
        <v>281</v>
      </c>
      <c r="B35" s="82"/>
      <c r="C35" s="82">
        <v>102129</v>
      </c>
      <c r="D35" s="82" t="s">
        <v>214</v>
      </c>
      <c r="E35" s="82">
        <v>136021.32999999999</v>
      </c>
      <c r="F35" s="82">
        <v>0</v>
      </c>
      <c r="G35" s="82" t="s">
        <v>197</v>
      </c>
      <c r="H35" s="82" t="s">
        <v>198</v>
      </c>
      <c r="I35" s="82" t="s">
        <v>282</v>
      </c>
      <c r="J35" s="82" t="s">
        <v>200</v>
      </c>
      <c r="K35" s="82" t="s">
        <v>283</v>
      </c>
      <c r="L35" s="82" t="s">
        <v>200</v>
      </c>
      <c r="M35" s="82" t="s">
        <v>202</v>
      </c>
      <c r="N35" s="82" t="s">
        <v>203</v>
      </c>
    </row>
    <row r="36" spans="1:14">
      <c r="A36" s="82" t="s">
        <v>284</v>
      </c>
      <c r="B36" s="82"/>
      <c r="C36" s="82">
        <v>100082</v>
      </c>
      <c r="D36" s="82" t="s">
        <v>216</v>
      </c>
      <c r="E36" s="82">
        <v>22776.84</v>
      </c>
      <c r="F36" s="82">
        <v>0</v>
      </c>
      <c r="G36" s="82" t="s">
        <v>197</v>
      </c>
      <c r="H36" s="82" t="s">
        <v>198</v>
      </c>
      <c r="I36" s="82" t="s">
        <v>199</v>
      </c>
      <c r="J36" s="82" t="s">
        <v>200</v>
      </c>
      <c r="K36" s="82" t="s">
        <v>201</v>
      </c>
      <c r="L36" s="82" t="s">
        <v>200</v>
      </c>
      <c r="M36" s="82" t="s">
        <v>202</v>
      </c>
      <c r="N36" s="82" t="s">
        <v>203</v>
      </c>
    </row>
    <row r="37" spans="1:14">
      <c r="A37" s="82" t="s">
        <v>285</v>
      </c>
      <c r="B37" s="82"/>
      <c r="C37" s="82">
        <v>100205</v>
      </c>
      <c r="D37" s="82" t="s">
        <v>216</v>
      </c>
      <c r="E37" s="82">
        <v>25532.22</v>
      </c>
      <c r="F37" s="82">
        <v>0</v>
      </c>
      <c r="G37" s="82" t="s">
        <v>197</v>
      </c>
      <c r="H37" s="82" t="s">
        <v>198</v>
      </c>
      <c r="I37" s="82" t="s">
        <v>206</v>
      </c>
      <c r="J37" s="82" t="s">
        <v>200</v>
      </c>
      <c r="K37" s="82" t="s">
        <v>201</v>
      </c>
      <c r="L37" s="82" t="s">
        <v>200</v>
      </c>
      <c r="M37" s="82" t="s">
        <v>202</v>
      </c>
      <c r="N37" s="82" t="s">
        <v>203</v>
      </c>
    </row>
    <row r="38" spans="1:14">
      <c r="A38" s="82" t="s">
        <v>286</v>
      </c>
      <c r="B38" s="82"/>
      <c r="C38" s="82">
        <v>100488</v>
      </c>
      <c r="D38" s="82" t="s">
        <v>216</v>
      </c>
      <c r="E38" s="82">
        <v>33604.699999999997</v>
      </c>
      <c r="F38" s="82">
        <v>0</v>
      </c>
      <c r="G38" s="82" t="s">
        <v>197</v>
      </c>
      <c r="H38" s="82" t="s">
        <v>198</v>
      </c>
      <c r="I38" s="82" t="s">
        <v>267</v>
      </c>
      <c r="J38" s="82" t="s">
        <v>200</v>
      </c>
      <c r="K38" s="82" t="s">
        <v>268</v>
      </c>
      <c r="L38" s="82" t="s">
        <v>200</v>
      </c>
      <c r="M38" s="82" t="s">
        <v>202</v>
      </c>
      <c r="N38" s="82" t="s">
        <v>203</v>
      </c>
    </row>
    <row r="39" spans="1:14">
      <c r="A39" s="82" t="s">
        <v>287</v>
      </c>
      <c r="B39" s="82"/>
      <c r="C39" s="82">
        <v>100661</v>
      </c>
      <c r="D39" s="82" t="s">
        <v>216</v>
      </c>
      <c r="E39" s="82">
        <v>27003.24</v>
      </c>
      <c r="F39" s="82">
        <v>0</v>
      </c>
      <c r="G39" s="82" t="s">
        <v>197</v>
      </c>
      <c r="H39" s="82" t="s">
        <v>198</v>
      </c>
      <c r="I39" s="82" t="s">
        <v>209</v>
      </c>
      <c r="J39" s="82" t="s">
        <v>200</v>
      </c>
      <c r="K39" s="82" t="s">
        <v>213</v>
      </c>
      <c r="L39" s="82" t="s">
        <v>200</v>
      </c>
      <c r="M39" s="82" t="s">
        <v>202</v>
      </c>
      <c r="N39" s="82" t="s">
        <v>203</v>
      </c>
    </row>
    <row r="40" spans="1:14">
      <c r="A40" s="82" t="s">
        <v>288</v>
      </c>
      <c r="B40" s="82"/>
      <c r="C40" s="82">
        <v>100886</v>
      </c>
      <c r="D40" s="82" t="s">
        <v>216</v>
      </c>
      <c r="E40" s="82">
        <v>32304.68</v>
      </c>
      <c r="F40" s="82">
        <v>0</v>
      </c>
      <c r="G40" s="82" t="s">
        <v>197</v>
      </c>
      <c r="H40" s="82" t="s">
        <v>198</v>
      </c>
      <c r="I40" s="82" t="s">
        <v>272</v>
      </c>
      <c r="J40" s="82" t="s">
        <v>200</v>
      </c>
      <c r="K40" s="82" t="s">
        <v>219</v>
      </c>
      <c r="L40" s="82" t="s">
        <v>200</v>
      </c>
      <c r="M40" s="82" t="s">
        <v>202</v>
      </c>
      <c r="N40" s="82" t="s">
        <v>203</v>
      </c>
    </row>
    <row r="41" spans="1:14">
      <c r="A41" s="82" t="s">
        <v>289</v>
      </c>
      <c r="B41" s="82"/>
      <c r="C41" s="82">
        <v>100886</v>
      </c>
      <c r="D41" s="82" t="s">
        <v>216</v>
      </c>
      <c r="E41" s="82">
        <v>41677.279999999999</v>
      </c>
      <c r="F41" s="82">
        <v>0</v>
      </c>
      <c r="G41" s="82" t="s">
        <v>197</v>
      </c>
      <c r="H41" s="82" t="s">
        <v>198</v>
      </c>
      <c r="I41" s="82" t="s">
        <v>272</v>
      </c>
      <c r="J41" s="82" t="s">
        <v>200</v>
      </c>
      <c r="K41" s="82" t="s">
        <v>219</v>
      </c>
      <c r="L41" s="82" t="s">
        <v>200</v>
      </c>
      <c r="M41" s="82" t="s">
        <v>202</v>
      </c>
      <c r="N41" s="82" t="s">
        <v>203</v>
      </c>
    </row>
    <row r="42" spans="1:14">
      <c r="A42" s="82" t="s">
        <v>290</v>
      </c>
      <c r="B42" s="82"/>
      <c r="C42" s="82">
        <v>101224</v>
      </c>
      <c r="D42" s="82" t="s">
        <v>216</v>
      </c>
      <c r="E42" s="82">
        <v>34510.74</v>
      </c>
      <c r="F42" s="82">
        <v>0</v>
      </c>
      <c r="G42" s="82" t="s">
        <v>197</v>
      </c>
      <c r="H42" s="82" t="s">
        <v>198</v>
      </c>
      <c r="I42" s="82" t="s">
        <v>222</v>
      </c>
      <c r="J42" s="82" t="s">
        <v>200</v>
      </c>
      <c r="K42" s="82" t="s">
        <v>223</v>
      </c>
      <c r="L42" s="82" t="s">
        <v>200</v>
      </c>
      <c r="M42" s="82" t="s">
        <v>202</v>
      </c>
      <c r="N42" s="82" t="s">
        <v>203</v>
      </c>
    </row>
    <row r="43" spans="1:14">
      <c r="A43" s="82" t="s">
        <v>291</v>
      </c>
      <c r="B43" s="82"/>
      <c r="C43" s="82">
        <v>101338</v>
      </c>
      <c r="D43" s="82" t="s">
        <v>216</v>
      </c>
      <c r="E43" s="82">
        <v>33751.660000000003</v>
      </c>
      <c r="F43" s="82">
        <v>0</v>
      </c>
      <c r="G43" s="82" t="s">
        <v>197</v>
      </c>
      <c r="H43" s="82" t="s">
        <v>198</v>
      </c>
      <c r="I43" s="82" t="s">
        <v>248</v>
      </c>
      <c r="J43" s="82" t="s">
        <v>200</v>
      </c>
      <c r="K43" s="82" t="s">
        <v>249</v>
      </c>
      <c r="L43" s="82" t="s">
        <v>200</v>
      </c>
      <c r="M43" s="82" t="s">
        <v>202</v>
      </c>
      <c r="N43" s="82" t="s">
        <v>203</v>
      </c>
    </row>
    <row r="44" spans="1:14">
      <c r="A44" s="82" t="s">
        <v>292</v>
      </c>
      <c r="B44" s="82"/>
      <c r="C44" s="82">
        <v>100032</v>
      </c>
      <c r="D44" s="82" t="s">
        <v>220</v>
      </c>
      <c r="E44" s="82">
        <v>6269.46</v>
      </c>
      <c r="F44" s="82">
        <v>0</v>
      </c>
      <c r="G44" s="82" t="s">
        <v>197</v>
      </c>
      <c r="H44" s="82" t="s">
        <v>198</v>
      </c>
      <c r="I44" s="82" t="s">
        <v>238</v>
      </c>
      <c r="J44" s="82" t="s">
        <v>200</v>
      </c>
      <c r="K44" s="82" t="s">
        <v>239</v>
      </c>
      <c r="L44" s="82" t="s">
        <v>200</v>
      </c>
      <c r="M44" s="82" t="s">
        <v>202</v>
      </c>
      <c r="N44" s="82" t="s">
        <v>203</v>
      </c>
    </row>
    <row r="45" spans="1:14">
      <c r="A45" s="82" t="s">
        <v>293</v>
      </c>
      <c r="B45" s="82"/>
      <c r="C45" s="82">
        <v>100044</v>
      </c>
      <c r="D45" s="82" t="s">
        <v>220</v>
      </c>
      <c r="E45" s="82">
        <v>13340.46</v>
      </c>
      <c r="F45" s="82">
        <v>0</v>
      </c>
      <c r="G45" s="82" t="s">
        <v>197</v>
      </c>
      <c r="H45" s="82" t="s">
        <v>198</v>
      </c>
      <c r="I45" s="82" t="s">
        <v>263</v>
      </c>
      <c r="J45" s="82" t="s">
        <v>200</v>
      </c>
      <c r="K45" s="82" t="s">
        <v>264</v>
      </c>
      <c r="L45" s="82" t="s">
        <v>200</v>
      </c>
      <c r="M45" s="82" t="s">
        <v>202</v>
      </c>
      <c r="N45" s="82" t="s">
        <v>203</v>
      </c>
    </row>
    <row r="46" spans="1:14">
      <c r="A46" s="82" t="s">
        <v>294</v>
      </c>
      <c r="B46" s="82"/>
      <c r="C46" s="82">
        <v>100205</v>
      </c>
      <c r="D46" s="82" t="s">
        <v>220</v>
      </c>
      <c r="E46" s="82">
        <v>10070.52</v>
      </c>
      <c r="F46" s="82">
        <v>0</v>
      </c>
      <c r="G46" s="82" t="s">
        <v>197</v>
      </c>
      <c r="H46" s="82" t="s">
        <v>198</v>
      </c>
      <c r="I46" s="82" t="s">
        <v>206</v>
      </c>
      <c r="J46" s="82" t="s">
        <v>200</v>
      </c>
      <c r="K46" s="82" t="s">
        <v>201</v>
      </c>
      <c r="L46" s="82" t="s">
        <v>200</v>
      </c>
      <c r="M46" s="82" t="s">
        <v>202</v>
      </c>
      <c r="N46" s="82" t="s">
        <v>203</v>
      </c>
    </row>
    <row r="47" spans="1:14">
      <c r="A47" s="82" t="s">
        <v>295</v>
      </c>
      <c r="B47" s="82"/>
      <c r="C47" s="82">
        <v>100402</v>
      </c>
      <c r="D47" s="82" t="s">
        <v>220</v>
      </c>
      <c r="E47" s="82">
        <v>7252.89</v>
      </c>
      <c r="F47" s="82">
        <v>0</v>
      </c>
      <c r="G47" s="82" t="s">
        <v>197</v>
      </c>
      <c r="H47" s="82" t="s">
        <v>198</v>
      </c>
      <c r="I47" s="82" t="s">
        <v>242</v>
      </c>
      <c r="J47" s="82" t="s">
        <v>200</v>
      </c>
      <c r="K47" s="82" t="s">
        <v>243</v>
      </c>
      <c r="L47" s="82" t="s">
        <v>200</v>
      </c>
      <c r="M47" s="82" t="s">
        <v>202</v>
      </c>
      <c r="N47" s="82" t="s">
        <v>203</v>
      </c>
    </row>
    <row r="48" spans="1:14">
      <c r="A48" s="82" t="s">
        <v>296</v>
      </c>
      <c r="B48" s="82"/>
      <c r="C48" s="82">
        <v>100662</v>
      </c>
      <c r="D48" s="82" t="s">
        <v>220</v>
      </c>
      <c r="E48" s="82">
        <v>10122.540000000001</v>
      </c>
      <c r="F48" s="82">
        <v>0</v>
      </c>
      <c r="G48" s="82" t="s">
        <v>197</v>
      </c>
      <c r="H48" s="82" t="s">
        <v>198</v>
      </c>
      <c r="I48" s="82" t="s">
        <v>297</v>
      </c>
      <c r="J48" s="82" t="s">
        <v>200</v>
      </c>
      <c r="K48" s="82" t="s">
        <v>298</v>
      </c>
      <c r="L48" s="82" t="s">
        <v>200</v>
      </c>
      <c r="M48" s="82" t="s">
        <v>202</v>
      </c>
      <c r="N48" s="82" t="s">
        <v>203</v>
      </c>
    </row>
    <row r="49" spans="1:14">
      <c r="A49" s="82" t="s">
        <v>299</v>
      </c>
      <c r="B49" s="82"/>
      <c r="C49" s="82">
        <v>100886</v>
      </c>
      <c r="D49" s="82" t="s">
        <v>220</v>
      </c>
      <c r="E49" s="82">
        <v>10327.44</v>
      </c>
      <c r="F49" s="82">
        <v>0</v>
      </c>
      <c r="G49" s="82" t="s">
        <v>197</v>
      </c>
      <c r="H49" s="82" t="s">
        <v>198</v>
      </c>
      <c r="I49" s="82" t="s">
        <v>272</v>
      </c>
      <c r="J49" s="82" t="s">
        <v>200</v>
      </c>
      <c r="K49" s="82" t="s">
        <v>219</v>
      </c>
      <c r="L49" s="82" t="s">
        <v>200</v>
      </c>
      <c r="M49" s="82" t="s">
        <v>202</v>
      </c>
      <c r="N49" s="82" t="s">
        <v>203</v>
      </c>
    </row>
    <row r="50" spans="1:14">
      <c r="A50" s="82" t="s">
        <v>300</v>
      </c>
      <c r="B50" s="82"/>
      <c r="C50" s="82">
        <v>101224</v>
      </c>
      <c r="D50" s="82" t="s">
        <v>220</v>
      </c>
      <c r="E50" s="82">
        <v>9834.35</v>
      </c>
      <c r="F50" s="82">
        <v>0</v>
      </c>
      <c r="G50" s="82" t="s">
        <v>197</v>
      </c>
      <c r="H50" s="82" t="s">
        <v>198</v>
      </c>
      <c r="I50" s="82" t="s">
        <v>222</v>
      </c>
      <c r="J50" s="82" t="s">
        <v>200</v>
      </c>
      <c r="K50" s="82" t="s">
        <v>223</v>
      </c>
      <c r="L50" s="82" t="s">
        <v>200</v>
      </c>
      <c r="M50" s="82" t="s">
        <v>202</v>
      </c>
      <c r="N50" s="82" t="s">
        <v>203</v>
      </c>
    </row>
    <row r="51" spans="1:14">
      <c r="A51" s="82" t="s">
        <v>301</v>
      </c>
      <c r="B51" s="82"/>
      <c r="C51" s="82">
        <v>101338</v>
      </c>
      <c r="D51" s="82" t="s">
        <v>220</v>
      </c>
      <c r="E51" s="82">
        <v>9508.7999999999993</v>
      </c>
      <c r="F51" s="82">
        <v>0</v>
      </c>
      <c r="G51" s="82" t="s">
        <v>197</v>
      </c>
      <c r="H51" s="82" t="s">
        <v>198</v>
      </c>
      <c r="I51" s="82" t="s">
        <v>248</v>
      </c>
      <c r="J51" s="82" t="s">
        <v>200</v>
      </c>
      <c r="K51" s="82" t="s">
        <v>249</v>
      </c>
      <c r="L51" s="82" t="s">
        <v>200</v>
      </c>
      <c r="M51" s="82" t="s">
        <v>202</v>
      </c>
      <c r="N51" s="82" t="s">
        <v>203</v>
      </c>
    </row>
    <row r="52" spans="1:14">
      <c r="A52" s="82" t="s">
        <v>302</v>
      </c>
      <c r="B52" s="82"/>
      <c r="C52" s="82">
        <v>101567</v>
      </c>
      <c r="D52" s="82" t="s">
        <v>220</v>
      </c>
      <c r="E52" s="82">
        <v>16177.89</v>
      </c>
      <c r="F52" s="82">
        <v>0</v>
      </c>
      <c r="G52" s="82" t="s">
        <v>197</v>
      </c>
      <c r="H52" s="82" t="s">
        <v>198</v>
      </c>
      <c r="I52" s="82" t="s">
        <v>303</v>
      </c>
      <c r="J52" s="82" t="s">
        <v>200</v>
      </c>
      <c r="K52" s="82" t="s">
        <v>304</v>
      </c>
      <c r="L52" s="82" t="s">
        <v>200</v>
      </c>
      <c r="M52" s="82" t="s">
        <v>202</v>
      </c>
      <c r="N52" s="82" t="s">
        <v>203</v>
      </c>
    </row>
    <row r="53" spans="1:14">
      <c r="A53" s="82" t="s">
        <v>305</v>
      </c>
      <c r="B53" s="82"/>
      <c r="C53" s="82">
        <v>101690</v>
      </c>
      <c r="D53" s="82" t="s">
        <v>220</v>
      </c>
      <c r="E53" s="82">
        <v>21348.58</v>
      </c>
      <c r="F53" s="82">
        <v>0</v>
      </c>
      <c r="G53" s="82" t="s">
        <v>197</v>
      </c>
      <c r="H53" s="82" t="s">
        <v>198</v>
      </c>
      <c r="I53" s="82" t="s">
        <v>306</v>
      </c>
      <c r="J53" s="82" t="s">
        <v>200</v>
      </c>
      <c r="K53" s="82" t="s">
        <v>307</v>
      </c>
      <c r="L53" s="82" t="s">
        <v>200</v>
      </c>
      <c r="M53" s="82" t="s">
        <v>202</v>
      </c>
      <c r="N53" s="82" t="s">
        <v>203</v>
      </c>
    </row>
    <row r="54" spans="1:14">
      <c r="A54" s="82" t="s">
        <v>308</v>
      </c>
      <c r="B54" s="82"/>
      <c r="C54" s="82">
        <v>101836</v>
      </c>
      <c r="D54" s="82" t="s">
        <v>220</v>
      </c>
      <c r="E54" s="82">
        <v>17673.560000000001</v>
      </c>
      <c r="F54" s="82">
        <v>0</v>
      </c>
      <c r="G54" s="82" t="s">
        <v>197</v>
      </c>
      <c r="H54" s="82" t="s">
        <v>198</v>
      </c>
      <c r="I54" s="82" t="s">
        <v>278</v>
      </c>
      <c r="J54" s="82" t="s">
        <v>200</v>
      </c>
      <c r="K54" s="82" t="s">
        <v>258</v>
      </c>
      <c r="L54" s="82" t="s">
        <v>200</v>
      </c>
      <c r="M54" s="82" t="s">
        <v>202</v>
      </c>
      <c r="N54" s="82" t="s">
        <v>203</v>
      </c>
    </row>
    <row r="55" spans="1:14">
      <c r="A55" s="82" t="s">
        <v>309</v>
      </c>
      <c r="B55" s="82"/>
      <c r="C55" s="82">
        <v>102030</v>
      </c>
      <c r="D55" s="82" t="s">
        <v>220</v>
      </c>
      <c r="E55" s="82">
        <v>19352.37</v>
      </c>
      <c r="F55" s="82">
        <v>0</v>
      </c>
      <c r="G55" s="82" t="s">
        <v>197</v>
      </c>
      <c r="H55" s="82" t="s">
        <v>198</v>
      </c>
      <c r="I55" s="82" t="s">
        <v>310</v>
      </c>
      <c r="J55" s="82" t="s">
        <v>200</v>
      </c>
      <c r="K55" s="82" t="s">
        <v>311</v>
      </c>
      <c r="L55" s="82" t="s">
        <v>200</v>
      </c>
      <c r="M55" s="82" t="s">
        <v>202</v>
      </c>
      <c r="N55" s="82" t="s">
        <v>203</v>
      </c>
    </row>
    <row r="56" spans="1:14">
      <c r="A56" s="82" t="s">
        <v>312</v>
      </c>
      <c r="B56" s="82"/>
      <c r="C56" s="82">
        <v>100032</v>
      </c>
      <c r="D56" s="82" t="s">
        <v>224</v>
      </c>
      <c r="E56" s="82">
        <v>3205.69</v>
      </c>
      <c r="F56" s="82">
        <v>0</v>
      </c>
      <c r="G56" s="82" t="s">
        <v>197</v>
      </c>
      <c r="H56" s="82" t="s">
        <v>198</v>
      </c>
      <c r="I56" s="82" t="s">
        <v>238</v>
      </c>
      <c r="J56" s="82" t="s">
        <v>200</v>
      </c>
      <c r="K56" s="82" t="s">
        <v>239</v>
      </c>
      <c r="L56" s="82" t="s">
        <v>200</v>
      </c>
      <c r="M56" s="82" t="s">
        <v>202</v>
      </c>
      <c r="N56" s="82" t="s">
        <v>203</v>
      </c>
    </row>
    <row r="57" spans="1:14">
      <c r="A57" s="82" t="s">
        <v>313</v>
      </c>
      <c r="B57" s="82"/>
      <c r="C57" s="82">
        <v>100206</v>
      </c>
      <c r="D57" s="82" t="s">
        <v>224</v>
      </c>
      <c r="E57" s="82">
        <v>2719.43</v>
      </c>
      <c r="F57" s="82">
        <v>0</v>
      </c>
      <c r="G57" s="82" t="s">
        <v>197</v>
      </c>
      <c r="H57" s="82" t="s">
        <v>198</v>
      </c>
      <c r="I57" s="82" t="s">
        <v>206</v>
      </c>
      <c r="J57" s="82" t="s">
        <v>200</v>
      </c>
      <c r="K57" s="82" t="s">
        <v>314</v>
      </c>
      <c r="L57" s="82" t="s">
        <v>200</v>
      </c>
      <c r="M57" s="82" t="s">
        <v>202</v>
      </c>
      <c r="N57" s="82" t="s">
        <v>203</v>
      </c>
    </row>
    <row r="58" spans="1:14">
      <c r="A58" s="82" t="s">
        <v>315</v>
      </c>
      <c r="B58" s="82"/>
      <c r="C58" s="82">
        <v>100566</v>
      </c>
      <c r="D58" s="82" t="s">
        <v>224</v>
      </c>
      <c r="E58" s="82">
        <v>2312.69</v>
      </c>
      <c r="F58" s="82">
        <v>0</v>
      </c>
      <c r="G58" s="82" t="s">
        <v>197</v>
      </c>
      <c r="H58" s="82" t="s">
        <v>198</v>
      </c>
      <c r="I58" s="82" t="s">
        <v>208</v>
      </c>
      <c r="J58" s="82" t="s">
        <v>200</v>
      </c>
      <c r="K58" s="82" t="s">
        <v>209</v>
      </c>
      <c r="L58" s="82" t="s">
        <v>200</v>
      </c>
      <c r="M58" s="82" t="s">
        <v>202</v>
      </c>
      <c r="N58" s="82" t="s">
        <v>203</v>
      </c>
    </row>
    <row r="59" spans="1:14">
      <c r="A59" s="82" t="s">
        <v>316</v>
      </c>
      <c r="B59" s="82"/>
      <c r="C59" s="82">
        <v>100566</v>
      </c>
      <c r="D59" s="82" t="s">
        <v>224</v>
      </c>
      <c r="E59" s="82">
        <v>2324.64</v>
      </c>
      <c r="F59" s="82">
        <v>0</v>
      </c>
      <c r="G59" s="82" t="s">
        <v>197</v>
      </c>
      <c r="H59" s="82" t="s">
        <v>198</v>
      </c>
      <c r="I59" s="82" t="s">
        <v>208</v>
      </c>
      <c r="J59" s="82" t="s">
        <v>200</v>
      </c>
      <c r="K59" s="82" t="s">
        <v>209</v>
      </c>
      <c r="L59" s="82" t="s">
        <v>200</v>
      </c>
      <c r="M59" s="82" t="s">
        <v>202</v>
      </c>
      <c r="N59" s="82" t="s">
        <v>203</v>
      </c>
    </row>
    <row r="60" spans="1:14">
      <c r="A60" s="82" t="s">
        <v>317</v>
      </c>
      <c r="B60" s="82"/>
      <c r="C60" s="82">
        <v>100744</v>
      </c>
      <c r="D60" s="82" t="s">
        <v>224</v>
      </c>
      <c r="E60" s="82">
        <v>2277.9699999999998</v>
      </c>
      <c r="F60" s="82">
        <v>0</v>
      </c>
      <c r="G60" s="82" t="s">
        <v>197</v>
      </c>
      <c r="H60" s="82" t="s">
        <v>198</v>
      </c>
      <c r="I60" s="82" t="s">
        <v>212</v>
      </c>
      <c r="J60" s="82" t="s">
        <v>200</v>
      </c>
      <c r="K60" s="82" t="s">
        <v>213</v>
      </c>
      <c r="L60" s="82" t="s">
        <v>200</v>
      </c>
      <c r="M60" s="82" t="s">
        <v>202</v>
      </c>
      <c r="N60" s="82" t="s">
        <v>203</v>
      </c>
    </row>
    <row r="61" spans="1:14">
      <c r="A61" s="82" t="s">
        <v>318</v>
      </c>
      <c r="B61" s="82"/>
      <c r="C61" s="82">
        <v>101005</v>
      </c>
      <c r="D61" s="82" t="s">
        <v>224</v>
      </c>
      <c r="E61" s="82">
        <v>1949.72</v>
      </c>
      <c r="F61" s="82">
        <v>0</v>
      </c>
      <c r="G61" s="82" t="s">
        <v>197</v>
      </c>
      <c r="H61" s="82" t="s">
        <v>198</v>
      </c>
      <c r="I61" s="82" t="s">
        <v>319</v>
      </c>
      <c r="J61" s="82" t="s">
        <v>200</v>
      </c>
      <c r="K61" s="82" t="s">
        <v>320</v>
      </c>
      <c r="L61" s="82" t="s">
        <v>200</v>
      </c>
      <c r="M61" s="82" t="s">
        <v>202</v>
      </c>
      <c r="N61" s="82" t="s">
        <v>203</v>
      </c>
    </row>
    <row r="62" spans="1:14">
      <c r="A62" s="82" t="s">
        <v>321</v>
      </c>
      <c r="B62" s="82"/>
      <c r="C62" s="82">
        <v>101224</v>
      </c>
      <c r="D62" s="82" t="s">
        <v>224</v>
      </c>
      <c r="E62" s="82">
        <v>1169.6600000000001</v>
      </c>
      <c r="F62" s="82">
        <v>0</v>
      </c>
      <c r="G62" s="82" t="s">
        <v>197</v>
      </c>
      <c r="H62" s="82" t="s">
        <v>198</v>
      </c>
      <c r="I62" s="82" t="s">
        <v>222</v>
      </c>
      <c r="J62" s="82" t="s">
        <v>200</v>
      </c>
      <c r="K62" s="82" t="s">
        <v>223</v>
      </c>
      <c r="L62" s="82" t="s">
        <v>200</v>
      </c>
      <c r="M62" s="82" t="s">
        <v>202</v>
      </c>
      <c r="N62" s="82" t="s">
        <v>203</v>
      </c>
    </row>
    <row r="63" spans="1:14">
      <c r="A63" s="82" t="s">
        <v>322</v>
      </c>
      <c r="B63" s="82"/>
      <c r="C63" s="82">
        <v>101338</v>
      </c>
      <c r="D63" s="82" t="s">
        <v>224</v>
      </c>
      <c r="E63" s="82">
        <v>1774.16</v>
      </c>
      <c r="F63" s="82">
        <v>0</v>
      </c>
      <c r="G63" s="82" t="s">
        <v>197</v>
      </c>
      <c r="H63" s="82" t="s">
        <v>198</v>
      </c>
      <c r="I63" s="82" t="s">
        <v>248</v>
      </c>
      <c r="J63" s="82" t="s">
        <v>200</v>
      </c>
      <c r="K63" s="82" t="s">
        <v>249</v>
      </c>
      <c r="L63" s="82" t="s">
        <v>200</v>
      </c>
      <c r="M63" s="82" t="s">
        <v>202</v>
      </c>
      <c r="N63" s="82" t="s">
        <v>203</v>
      </c>
    </row>
    <row r="64" spans="1:14">
      <c r="A64" s="82" t="s">
        <v>323</v>
      </c>
      <c r="B64" s="82"/>
      <c r="C64" s="82">
        <v>101570</v>
      </c>
      <c r="D64" s="82" t="s">
        <v>224</v>
      </c>
      <c r="E64" s="82">
        <v>2364.54</v>
      </c>
      <c r="F64" s="82">
        <v>0</v>
      </c>
      <c r="G64" s="82" t="s">
        <v>197</v>
      </c>
      <c r="H64" s="82" t="s">
        <v>198</v>
      </c>
      <c r="I64" s="82" t="s">
        <v>275</v>
      </c>
      <c r="J64" s="82" t="s">
        <v>200</v>
      </c>
      <c r="K64" s="82" t="s">
        <v>276</v>
      </c>
      <c r="L64" s="82" t="s">
        <v>200</v>
      </c>
      <c r="M64" s="82" t="s">
        <v>202</v>
      </c>
      <c r="N64" s="82" t="s">
        <v>203</v>
      </c>
    </row>
    <row r="65" spans="1:14">
      <c r="A65" s="82" t="s">
        <v>324</v>
      </c>
      <c r="B65" s="82"/>
      <c r="C65" s="82">
        <v>101734</v>
      </c>
      <c r="D65" s="82" t="s">
        <v>224</v>
      </c>
      <c r="E65" s="82">
        <v>2560.4499999999998</v>
      </c>
      <c r="F65" s="82">
        <v>0</v>
      </c>
      <c r="G65" s="82" t="s">
        <v>197</v>
      </c>
      <c r="H65" s="82" t="s">
        <v>198</v>
      </c>
      <c r="I65" s="82" t="s">
        <v>230</v>
      </c>
      <c r="J65" s="82" t="s">
        <v>200</v>
      </c>
      <c r="K65" s="82" t="s">
        <v>231</v>
      </c>
      <c r="L65" s="82" t="s">
        <v>200</v>
      </c>
      <c r="M65" s="82" t="s">
        <v>202</v>
      </c>
      <c r="N65" s="82" t="s">
        <v>203</v>
      </c>
    </row>
    <row r="66" spans="1:14">
      <c r="A66" s="82" t="s">
        <v>325</v>
      </c>
      <c r="B66" s="82"/>
      <c r="C66" s="82">
        <v>101892</v>
      </c>
      <c r="D66" s="82" t="s">
        <v>224</v>
      </c>
      <c r="E66" s="82">
        <v>1861.23</v>
      </c>
      <c r="F66" s="82">
        <v>0</v>
      </c>
      <c r="G66" s="82" t="s">
        <v>197</v>
      </c>
      <c r="H66" s="82" t="s">
        <v>198</v>
      </c>
      <c r="I66" s="82" t="s">
        <v>326</v>
      </c>
      <c r="J66" s="82" t="s">
        <v>200</v>
      </c>
      <c r="K66" s="82" t="s">
        <v>258</v>
      </c>
      <c r="L66" s="82" t="s">
        <v>200</v>
      </c>
      <c r="M66" s="82" t="s">
        <v>202</v>
      </c>
      <c r="N66" s="82" t="s">
        <v>203</v>
      </c>
    </row>
    <row r="67" spans="1:14">
      <c r="A67" s="82" t="s">
        <v>327</v>
      </c>
      <c r="B67" s="82"/>
      <c r="C67" s="82">
        <v>102028</v>
      </c>
      <c r="D67" s="82" t="s">
        <v>224</v>
      </c>
      <c r="E67" s="82">
        <v>1100.29</v>
      </c>
      <c r="F67" s="82">
        <v>0</v>
      </c>
      <c r="G67" s="82" t="s">
        <v>197</v>
      </c>
      <c r="H67" s="82" t="s">
        <v>198</v>
      </c>
      <c r="I67" s="82" t="s">
        <v>233</v>
      </c>
      <c r="J67" s="82" t="s">
        <v>200</v>
      </c>
      <c r="K67" s="82" t="s">
        <v>234</v>
      </c>
      <c r="L67" s="82" t="s">
        <v>200</v>
      </c>
      <c r="M67" s="82" t="s">
        <v>202</v>
      </c>
      <c r="N67" s="82" t="s">
        <v>203</v>
      </c>
    </row>
  </sheetData>
  <pageMargins left="0.78740157499999996" right="0.78740157499999996" top="0.984251969" bottom="0.984251969" header="0.5" footer="0.5"/>
  <pageSetup paperSize="9" scale="0" firstPageNumber="0" fitToWidth="0" fitToHeight="0" pageOrder="overThenDown" orientation="portrait" horizontalDpi="300" verticalDpi="300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BEC753-2A9F-4667-B7EA-516C590ADD2B}">
  <dimension ref="A1:S67"/>
  <sheetViews>
    <sheetView workbookViewId="0">
      <selection activeCell="Q14" sqref="Q14"/>
    </sheetView>
  </sheetViews>
  <sheetFormatPr baseColWidth="10" defaultRowHeight="12.75"/>
  <cols>
    <col min="1" max="16" width="9.140625" style="79" customWidth="1"/>
    <col min="17" max="17" width="11.42578125" style="79"/>
    <col min="18" max="18" width="33" style="79" bestFit="1" customWidth="1"/>
    <col min="19" max="19" width="10" style="79" bestFit="1" customWidth="1"/>
    <col min="20" max="256" width="11.42578125" style="79"/>
    <col min="257" max="272" width="9.140625" style="79" customWidth="1"/>
    <col min="273" max="273" width="11.42578125" style="79"/>
    <col min="274" max="274" width="33" style="79" bestFit="1" customWidth="1"/>
    <col min="275" max="275" width="10" style="79" bestFit="1" customWidth="1"/>
    <col min="276" max="512" width="11.42578125" style="79"/>
    <col min="513" max="528" width="9.140625" style="79" customWidth="1"/>
    <col min="529" max="529" width="11.42578125" style="79"/>
    <col min="530" max="530" width="33" style="79" bestFit="1" customWidth="1"/>
    <col min="531" max="531" width="10" style="79" bestFit="1" customWidth="1"/>
    <col min="532" max="768" width="11.42578125" style="79"/>
    <col min="769" max="784" width="9.140625" style="79" customWidth="1"/>
    <col min="785" max="785" width="11.42578125" style="79"/>
    <col min="786" max="786" width="33" style="79" bestFit="1" customWidth="1"/>
    <col min="787" max="787" width="10" style="79" bestFit="1" customWidth="1"/>
    <col min="788" max="1024" width="11.42578125" style="79"/>
    <col min="1025" max="1040" width="9.140625" style="79" customWidth="1"/>
    <col min="1041" max="1041" width="11.42578125" style="79"/>
    <col min="1042" max="1042" width="33" style="79" bestFit="1" customWidth="1"/>
    <col min="1043" max="1043" width="10" style="79" bestFit="1" customWidth="1"/>
    <col min="1044" max="1280" width="11.42578125" style="79"/>
    <col min="1281" max="1296" width="9.140625" style="79" customWidth="1"/>
    <col min="1297" max="1297" width="11.42578125" style="79"/>
    <col min="1298" max="1298" width="33" style="79" bestFit="1" customWidth="1"/>
    <col min="1299" max="1299" width="10" style="79" bestFit="1" customWidth="1"/>
    <col min="1300" max="1536" width="11.42578125" style="79"/>
    <col min="1537" max="1552" width="9.140625" style="79" customWidth="1"/>
    <col min="1553" max="1553" width="11.42578125" style="79"/>
    <col min="1554" max="1554" width="33" style="79" bestFit="1" customWidth="1"/>
    <col min="1555" max="1555" width="10" style="79" bestFit="1" customWidth="1"/>
    <col min="1556" max="1792" width="11.42578125" style="79"/>
    <col min="1793" max="1808" width="9.140625" style="79" customWidth="1"/>
    <col min="1809" max="1809" width="11.42578125" style="79"/>
    <col min="1810" max="1810" width="33" style="79" bestFit="1" customWidth="1"/>
    <col min="1811" max="1811" width="10" style="79" bestFit="1" customWidth="1"/>
    <col min="1812" max="2048" width="11.42578125" style="79"/>
    <col min="2049" max="2064" width="9.140625" style="79" customWidth="1"/>
    <col min="2065" max="2065" width="11.42578125" style="79"/>
    <col min="2066" max="2066" width="33" style="79" bestFit="1" customWidth="1"/>
    <col min="2067" max="2067" width="10" style="79" bestFit="1" customWidth="1"/>
    <col min="2068" max="2304" width="11.42578125" style="79"/>
    <col min="2305" max="2320" width="9.140625" style="79" customWidth="1"/>
    <col min="2321" max="2321" width="11.42578125" style="79"/>
    <col min="2322" max="2322" width="33" style="79" bestFit="1" customWidth="1"/>
    <col min="2323" max="2323" width="10" style="79" bestFit="1" customWidth="1"/>
    <col min="2324" max="2560" width="11.42578125" style="79"/>
    <col min="2561" max="2576" width="9.140625" style="79" customWidth="1"/>
    <col min="2577" max="2577" width="11.42578125" style="79"/>
    <col min="2578" max="2578" width="33" style="79" bestFit="1" customWidth="1"/>
    <col min="2579" max="2579" width="10" style="79" bestFit="1" customWidth="1"/>
    <col min="2580" max="2816" width="11.42578125" style="79"/>
    <col min="2817" max="2832" width="9.140625" style="79" customWidth="1"/>
    <col min="2833" max="2833" width="11.42578125" style="79"/>
    <col min="2834" max="2834" width="33" style="79" bestFit="1" customWidth="1"/>
    <col min="2835" max="2835" width="10" style="79" bestFit="1" customWidth="1"/>
    <col min="2836" max="3072" width="11.42578125" style="79"/>
    <col min="3073" max="3088" width="9.140625" style="79" customWidth="1"/>
    <col min="3089" max="3089" width="11.42578125" style="79"/>
    <col min="3090" max="3090" width="33" style="79" bestFit="1" customWidth="1"/>
    <col min="3091" max="3091" width="10" style="79" bestFit="1" customWidth="1"/>
    <col min="3092" max="3328" width="11.42578125" style="79"/>
    <col min="3329" max="3344" width="9.140625" style="79" customWidth="1"/>
    <col min="3345" max="3345" width="11.42578125" style="79"/>
    <col min="3346" max="3346" width="33" style="79" bestFit="1" customWidth="1"/>
    <col min="3347" max="3347" width="10" style="79" bestFit="1" customWidth="1"/>
    <col min="3348" max="3584" width="11.42578125" style="79"/>
    <col min="3585" max="3600" width="9.140625" style="79" customWidth="1"/>
    <col min="3601" max="3601" width="11.42578125" style="79"/>
    <col min="3602" max="3602" width="33" style="79" bestFit="1" customWidth="1"/>
    <col min="3603" max="3603" width="10" style="79" bestFit="1" customWidth="1"/>
    <col min="3604" max="3840" width="11.42578125" style="79"/>
    <col min="3841" max="3856" width="9.140625" style="79" customWidth="1"/>
    <col min="3857" max="3857" width="11.42578125" style="79"/>
    <col min="3858" max="3858" width="33" style="79" bestFit="1" customWidth="1"/>
    <col min="3859" max="3859" width="10" style="79" bestFit="1" customWidth="1"/>
    <col min="3860" max="4096" width="11.42578125" style="79"/>
    <col min="4097" max="4112" width="9.140625" style="79" customWidth="1"/>
    <col min="4113" max="4113" width="11.42578125" style="79"/>
    <col min="4114" max="4114" width="33" style="79" bestFit="1" customWidth="1"/>
    <col min="4115" max="4115" width="10" style="79" bestFit="1" customWidth="1"/>
    <col min="4116" max="4352" width="11.42578125" style="79"/>
    <col min="4353" max="4368" width="9.140625" style="79" customWidth="1"/>
    <col min="4369" max="4369" width="11.42578125" style="79"/>
    <col min="4370" max="4370" width="33" style="79" bestFit="1" customWidth="1"/>
    <col min="4371" max="4371" width="10" style="79" bestFit="1" customWidth="1"/>
    <col min="4372" max="4608" width="11.42578125" style="79"/>
    <col min="4609" max="4624" width="9.140625" style="79" customWidth="1"/>
    <col min="4625" max="4625" width="11.42578125" style="79"/>
    <col min="4626" max="4626" width="33" style="79" bestFit="1" customWidth="1"/>
    <col min="4627" max="4627" width="10" style="79" bestFit="1" customWidth="1"/>
    <col min="4628" max="4864" width="11.42578125" style="79"/>
    <col min="4865" max="4880" width="9.140625" style="79" customWidth="1"/>
    <col min="4881" max="4881" width="11.42578125" style="79"/>
    <col min="4882" max="4882" width="33" style="79" bestFit="1" customWidth="1"/>
    <col min="4883" max="4883" width="10" style="79" bestFit="1" customWidth="1"/>
    <col min="4884" max="5120" width="11.42578125" style="79"/>
    <col min="5121" max="5136" width="9.140625" style="79" customWidth="1"/>
    <col min="5137" max="5137" width="11.42578125" style="79"/>
    <col min="5138" max="5138" width="33" style="79" bestFit="1" customWidth="1"/>
    <col min="5139" max="5139" width="10" style="79" bestFit="1" customWidth="1"/>
    <col min="5140" max="5376" width="11.42578125" style="79"/>
    <col min="5377" max="5392" width="9.140625" style="79" customWidth="1"/>
    <col min="5393" max="5393" width="11.42578125" style="79"/>
    <col min="5394" max="5394" width="33" style="79" bestFit="1" customWidth="1"/>
    <col min="5395" max="5395" width="10" style="79" bestFit="1" customWidth="1"/>
    <col min="5396" max="5632" width="11.42578125" style="79"/>
    <col min="5633" max="5648" width="9.140625" style="79" customWidth="1"/>
    <col min="5649" max="5649" width="11.42578125" style="79"/>
    <col min="5650" max="5650" width="33" style="79" bestFit="1" customWidth="1"/>
    <col min="5651" max="5651" width="10" style="79" bestFit="1" customWidth="1"/>
    <col min="5652" max="5888" width="11.42578125" style="79"/>
    <col min="5889" max="5904" width="9.140625" style="79" customWidth="1"/>
    <col min="5905" max="5905" width="11.42578125" style="79"/>
    <col min="5906" max="5906" width="33" style="79" bestFit="1" customWidth="1"/>
    <col min="5907" max="5907" width="10" style="79" bestFit="1" customWidth="1"/>
    <col min="5908" max="6144" width="11.42578125" style="79"/>
    <col min="6145" max="6160" width="9.140625" style="79" customWidth="1"/>
    <col min="6161" max="6161" width="11.42578125" style="79"/>
    <col min="6162" max="6162" width="33" style="79" bestFit="1" customWidth="1"/>
    <col min="6163" max="6163" width="10" style="79" bestFit="1" customWidth="1"/>
    <col min="6164" max="6400" width="11.42578125" style="79"/>
    <col min="6401" max="6416" width="9.140625" style="79" customWidth="1"/>
    <col min="6417" max="6417" width="11.42578125" style="79"/>
    <col min="6418" max="6418" width="33" style="79" bestFit="1" customWidth="1"/>
    <col min="6419" max="6419" width="10" style="79" bestFit="1" customWidth="1"/>
    <col min="6420" max="6656" width="11.42578125" style="79"/>
    <col min="6657" max="6672" width="9.140625" style="79" customWidth="1"/>
    <col min="6673" max="6673" width="11.42578125" style="79"/>
    <col min="6674" max="6674" width="33" style="79" bestFit="1" customWidth="1"/>
    <col min="6675" max="6675" width="10" style="79" bestFit="1" customWidth="1"/>
    <col min="6676" max="6912" width="11.42578125" style="79"/>
    <col min="6913" max="6928" width="9.140625" style="79" customWidth="1"/>
    <col min="6929" max="6929" width="11.42578125" style="79"/>
    <col min="6930" max="6930" width="33" style="79" bestFit="1" customWidth="1"/>
    <col min="6931" max="6931" width="10" style="79" bestFit="1" customWidth="1"/>
    <col min="6932" max="7168" width="11.42578125" style="79"/>
    <col min="7169" max="7184" width="9.140625" style="79" customWidth="1"/>
    <col min="7185" max="7185" width="11.42578125" style="79"/>
    <col min="7186" max="7186" width="33" style="79" bestFit="1" customWidth="1"/>
    <col min="7187" max="7187" width="10" style="79" bestFit="1" customWidth="1"/>
    <col min="7188" max="7424" width="11.42578125" style="79"/>
    <col min="7425" max="7440" width="9.140625" style="79" customWidth="1"/>
    <col min="7441" max="7441" width="11.42578125" style="79"/>
    <col min="7442" max="7442" width="33" style="79" bestFit="1" customWidth="1"/>
    <col min="7443" max="7443" width="10" style="79" bestFit="1" customWidth="1"/>
    <col min="7444" max="7680" width="11.42578125" style="79"/>
    <col min="7681" max="7696" width="9.140625" style="79" customWidth="1"/>
    <col min="7697" max="7697" width="11.42578125" style="79"/>
    <col min="7698" max="7698" width="33" style="79" bestFit="1" customWidth="1"/>
    <col min="7699" max="7699" width="10" style="79" bestFit="1" customWidth="1"/>
    <col min="7700" max="7936" width="11.42578125" style="79"/>
    <col min="7937" max="7952" width="9.140625" style="79" customWidth="1"/>
    <col min="7953" max="7953" width="11.42578125" style="79"/>
    <col min="7954" max="7954" width="33" style="79" bestFit="1" customWidth="1"/>
    <col min="7955" max="7955" width="10" style="79" bestFit="1" customWidth="1"/>
    <col min="7956" max="8192" width="11.42578125" style="79"/>
    <col min="8193" max="8208" width="9.140625" style="79" customWidth="1"/>
    <col min="8209" max="8209" width="11.42578125" style="79"/>
    <col min="8210" max="8210" width="33" style="79" bestFit="1" customWidth="1"/>
    <col min="8211" max="8211" width="10" style="79" bestFit="1" customWidth="1"/>
    <col min="8212" max="8448" width="11.42578125" style="79"/>
    <col min="8449" max="8464" width="9.140625" style="79" customWidth="1"/>
    <col min="8465" max="8465" width="11.42578125" style="79"/>
    <col min="8466" max="8466" width="33" style="79" bestFit="1" customWidth="1"/>
    <col min="8467" max="8467" width="10" style="79" bestFit="1" customWidth="1"/>
    <col min="8468" max="8704" width="11.42578125" style="79"/>
    <col min="8705" max="8720" width="9.140625" style="79" customWidth="1"/>
    <col min="8721" max="8721" width="11.42578125" style="79"/>
    <col min="8722" max="8722" width="33" style="79" bestFit="1" customWidth="1"/>
    <col min="8723" max="8723" width="10" style="79" bestFit="1" customWidth="1"/>
    <col min="8724" max="8960" width="11.42578125" style="79"/>
    <col min="8961" max="8976" width="9.140625" style="79" customWidth="1"/>
    <col min="8977" max="8977" width="11.42578125" style="79"/>
    <col min="8978" max="8978" width="33" style="79" bestFit="1" customWidth="1"/>
    <col min="8979" max="8979" width="10" style="79" bestFit="1" customWidth="1"/>
    <col min="8980" max="9216" width="11.42578125" style="79"/>
    <col min="9217" max="9232" width="9.140625" style="79" customWidth="1"/>
    <col min="9233" max="9233" width="11.42578125" style="79"/>
    <col min="9234" max="9234" width="33" style="79" bestFit="1" customWidth="1"/>
    <col min="9235" max="9235" width="10" style="79" bestFit="1" customWidth="1"/>
    <col min="9236" max="9472" width="11.42578125" style="79"/>
    <col min="9473" max="9488" width="9.140625" style="79" customWidth="1"/>
    <col min="9489" max="9489" width="11.42578125" style="79"/>
    <col min="9490" max="9490" width="33" style="79" bestFit="1" customWidth="1"/>
    <col min="9491" max="9491" width="10" style="79" bestFit="1" customWidth="1"/>
    <col min="9492" max="9728" width="11.42578125" style="79"/>
    <col min="9729" max="9744" width="9.140625" style="79" customWidth="1"/>
    <col min="9745" max="9745" width="11.42578125" style="79"/>
    <col min="9746" max="9746" width="33" style="79" bestFit="1" customWidth="1"/>
    <col min="9747" max="9747" width="10" style="79" bestFit="1" customWidth="1"/>
    <col min="9748" max="9984" width="11.42578125" style="79"/>
    <col min="9985" max="10000" width="9.140625" style="79" customWidth="1"/>
    <col min="10001" max="10001" width="11.42578125" style="79"/>
    <col min="10002" max="10002" width="33" style="79" bestFit="1" customWidth="1"/>
    <col min="10003" max="10003" width="10" style="79" bestFit="1" customWidth="1"/>
    <col min="10004" max="10240" width="11.42578125" style="79"/>
    <col min="10241" max="10256" width="9.140625" style="79" customWidth="1"/>
    <col min="10257" max="10257" width="11.42578125" style="79"/>
    <col min="10258" max="10258" width="33" style="79" bestFit="1" customWidth="1"/>
    <col min="10259" max="10259" width="10" style="79" bestFit="1" customWidth="1"/>
    <col min="10260" max="10496" width="11.42578125" style="79"/>
    <col min="10497" max="10512" width="9.140625" style="79" customWidth="1"/>
    <col min="10513" max="10513" width="11.42578125" style="79"/>
    <col min="10514" max="10514" width="33" style="79" bestFit="1" customWidth="1"/>
    <col min="10515" max="10515" width="10" style="79" bestFit="1" customWidth="1"/>
    <col min="10516" max="10752" width="11.42578125" style="79"/>
    <col min="10753" max="10768" width="9.140625" style="79" customWidth="1"/>
    <col min="10769" max="10769" width="11.42578125" style="79"/>
    <col min="10770" max="10770" width="33" style="79" bestFit="1" customWidth="1"/>
    <col min="10771" max="10771" width="10" style="79" bestFit="1" customWidth="1"/>
    <col min="10772" max="11008" width="11.42578125" style="79"/>
    <col min="11009" max="11024" width="9.140625" style="79" customWidth="1"/>
    <col min="11025" max="11025" width="11.42578125" style="79"/>
    <col min="11026" max="11026" width="33" style="79" bestFit="1" customWidth="1"/>
    <col min="11027" max="11027" width="10" style="79" bestFit="1" customWidth="1"/>
    <col min="11028" max="11264" width="11.42578125" style="79"/>
    <col min="11265" max="11280" width="9.140625" style="79" customWidth="1"/>
    <col min="11281" max="11281" width="11.42578125" style="79"/>
    <col min="11282" max="11282" width="33" style="79" bestFit="1" customWidth="1"/>
    <col min="11283" max="11283" width="10" style="79" bestFit="1" customWidth="1"/>
    <col min="11284" max="11520" width="11.42578125" style="79"/>
    <col min="11521" max="11536" width="9.140625" style="79" customWidth="1"/>
    <col min="11537" max="11537" width="11.42578125" style="79"/>
    <col min="11538" max="11538" width="33" style="79" bestFit="1" customWidth="1"/>
    <col min="11539" max="11539" width="10" style="79" bestFit="1" customWidth="1"/>
    <col min="11540" max="11776" width="11.42578125" style="79"/>
    <col min="11777" max="11792" width="9.140625" style="79" customWidth="1"/>
    <col min="11793" max="11793" width="11.42578125" style="79"/>
    <col min="11794" max="11794" width="33" style="79" bestFit="1" customWidth="1"/>
    <col min="11795" max="11795" width="10" style="79" bestFit="1" customWidth="1"/>
    <col min="11796" max="12032" width="11.42578125" style="79"/>
    <col min="12033" max="12048" width="9.140625" style="79" customWidth="1"/>
    <col min="12049" max="12049" width="11.42578125" style="79"/>
    <col min="12050" max="12050" width="33" style="79" bestFit="1" customWidth="1"/>
    <col min="12051" max="12051" width="10" style="79" bestFit="1" customWidth="1"/>
    <col min="12052" max="12288" width="11.42578125" style="79"/>
    <col min="12289" max="12304" width="9.140625" style="79" customWidth="1"/>
    <col min="12305" max="12305" width="11.42578125" style="79"/>
    <col min="12306" max="12306" width="33" style="79" bestFit="1" customWidth="1"/>
    <col min="12307" max="12307" width="10" style="79" bestFit="1" customWidth="1"/>
    <col min="12308" max="12544" width="11.42578125" style="79"/>
    <col min="12545" max="12560" width="9.140625" style="79" customWidth="1"/>
    <col min="12561" max="12561" width="11.42578125" style="79"/>
    <col min="12562" max="12562" width="33" style="79" bestFit="1" customWidth="1"/>
    <col min="12563" max="12563" width="10" style="79" bestFit="1" customWidth="1"/>
    <col min="12564" max="12800" width="11.42578125" style="79"/>
    <col min="12801" max="12816" width="9.140625" style="79" customWidth="1"/>
    <col min="12817" max="12817" width="11.42578125" style="79"/>
    <col min="12818" max="12818" width="33" style="79" bestFit="1" customWidth="1"/>
    <col min="12819" max="12819" width="10" style="79" bestFit="1" customWidth="1"/>
    <col min="12820" max="13056" width="11.42578125" style="79"/>
    <col min="13057" max="13072" width="9.140625" style="79" customWidth="1"/>
    <col min="13073" max="13073" width="11.42578125" style="79"/>
    <col min="13074" max="13074" width="33" style="79" bestFit="1" customWidth="1"/>
    <col min="13075" max="13075" width="10" style="79" bestFit="1" customWidth="1"/>
    <col min="13076" max="13312" width="11.42578125" style="79"/>
    <col min="13313" max="13328" width="9.140625" style="79" customWidth="1"/>
    <col min="13329" max="13329" width="11.42578125" style="79"/>
    <col min="13330" max="13330" width="33" style="79" bestFit="1" customWidth="1"/>
    <col min="13331" max="13331" width="10" style="79" bestFit="1" customWidth="1"/>
    <col min="13332" max="13568" width="11.42578125" style="79"/>
    <col min="13569" max="13584" width="9.140625" style="79" customWidth="1"/>
    <col min="13585" max="13585" width="11.42578125" style="79"/>
    <col min="13586" max="13586" width="33" style="79" bestFit="1" customWidth="1"/>
    <col min="13587" max="13587" width="10" style="79" bestFit="1" customWidth="1"/>
    <col min="13588" max="13824" width="11.42578125" style="79"/>
    <col min="13825" max="13840" width="9.140625" style="79" customWidth="1"/>
    <col min="13841" max="13841" width="11.42578125" style="79"/>
    <col min="13842" max="13842" width="33" style="79" bestFit="1" customWidth="1"/>
    <col min="13843" max="13843" width="10" style="79" bestFit="1" customWidth="1"/>
    <col min="13844" max="14080" width="11.42578125" style="79"/>
    <col min="14081" max="14096" width="9.140625" style="79" customWidth="1"/>
    <col min="14097" max="14097" width="11.42578125" style="79"/>
    <col min="14098" max="14098" width="33" style="79" bestFit="1" customWidth="1"/>
    <col min="14099" max="14099" width="10" style="79" bestFit="1" customWidth="1"/>
    <col min="14100" max="14336" width="11.42578125" style="79"/>
    <col min="14337" max="14352" width="9.140625" style="79" customWidth="1"/>
    <col min="14353" max="14353" width="11.42578125" style="79"/>
    <col min="14354" max="14354" width="33" style="79" bestFit="1" customWidth="1"/>
    <col min="14355" max="14355" width="10" style="79" bestFit="1" customWidth="1"/>
    <col min="14356" max="14592" width="11.42578125" style="79"/>
    <col min="14593" max="14608" width="9.140625" style="79" customWidth="1"/>
    <col min="14609" max="14609" width="11.42578125" style="79"/>
    <col min="14610" max="14610" width="33" style="79" bestFit="1" customWidth="1"/>
    <col min="14611" max="14611" width="10" style="79" bestFit="1" customWidth="1"/>
    <col min="14612" max="14848" width="11.42578125" style="79"/>
    <col min="14849" max="14864" width="9.140625" style="79" customWidth="1"/>
    <col min="14865" max="14865" width="11.42578125" style="79"/>
    <col min="14866" max="14866" width="33" style="79" bestFit="1" customWidth="1"/>
    <col min="14867" max="14867" width="10" style="79" bestFit="1" customWidth="1"/>
    <col min="14868" max="15104" width="11.42578125" style="79"/>
    <col min="15105" max="15120" width="9.140625" style="79" customWidth="1"/>
    <col min="15121" max="15121" width="11.42578125" style="79"/>
    <col min="15122" max="15122" width="33" style="79" bestFit="1" customWidth="1"/>
    <col min="15123" max="15123" width="10" style="79" bestFit="1" customWidth="1"/>
    <col min="15124" max="15360" width="11.42578125" style="79"/>
    <col min="15361" max="15376" width="9.140625" style="79" customWidth="1"/>
    <col min="15377" max="15377" width="11.42578125" style="79"/>
    <col min="15378" max="15378" width="33" style="79" bestFit="1" customWidth="1"/>
    <col min="15379" max="15379" width="10" style="79" bestFit="1" customWidth="1"/>
    <col min="15380" max="15616" width="11.42578125" style="79"/>
    <col min="15617" max="15632" width="9.140625" style="79" customWidth="1"/>
    <col min="15633" max="15633" width="11.42578125" style="79"/>
    <col min="15634" max="15634" width="33" style="79" bestFit="1" customWidth="1"/>
    <col min="15635" max="15635" width="10" style="79" bestFit="1" customWidth="1"/>
    <col min="15636" max="15872" width="11.42578125" style="79"/>
    <col min="15873" max="15888" width="9.140625" style="79" customWidth="1"/>
    <col min="15889" max="15889" width="11.42578125" style="79"/>
    <col min="15890" max="15890" width="33" style="79" bestFit="1" customWidth="1"/>
    <col min="15891" max="15891" width="10" style="79" bestFit="1" customWidth="1"/>
    <col min="15892" max="16128" width="11.42578125" style="79"/>
    <col min="16129" max="16144" width="9.140625" style="79" customWidth="1"/>
    <col min="16145" max="16145" width="11.42578125" style="79"/>
    <col min="16146" max="16146" width="33" style="79" bestFit="1" customWidth="1"/>
    <col min="16147" max="16147" width="10" style="79" bestFit="1" customWidth="1"/>
    <col min="16148" max="16384" width="11.42578125" style="79"/>
  </cols>
  <sheetData>
    <row r="1" spans="1:19">
      <c r="A1" s="78" t="s">
        <v>328</v>
      </c>
      <c r="B1" s="78" t="s">
        <v>181</v>
      </c>
      <c r="C1" s="78" t="s">
        <v>182</v>
      </c>
      <c r="D1" s="78" t="s">
        <v>329</v>
      </c>
      <c r="E1" s="78" t="s">
        <v>330</v>
      </c>
      <c r="F1" s="78" t="s">
        <v>331</v>
      </c>
      <c r="G1" s="78" t="s">
        <v>332</v>
      </c>
      <c r="H1" s="78" t="s">
        <v>333</v>
      </c>
      <c r="I1" s="78" t="s">
        <v>334</v>
      </c>
      <c r="J1" s="78" t="s">
        <v>190</v>
      </c>
      <c r="K1" s="78" t="s">
        <v>335</v>
      </c>
      <c r="L1" s="78" t="s">
        <v>336</v>
      </c>
      <c r="M1" s="78" t="s">
        <v>184</v>
      </c>
      <c r="N1" s="78" t="s">
        <v>337</v>
      </c>
      <c r="O1" s="78" t="s">
        <v>193</v>
      </c>
      <c r="P1" s="78" t="s">
        <v>338</v>
      </c>
      <c r="R1" s="80" t="s">
        <v>194</v>
      </c>
      <c r="S1" s="81"/>
    </row>
    <row r="2" spans="1:19">
      <c r="A2" s="82" t="s">
        <v>339</v>
      </c>
      <c r="B2" s="82" t="s">
        <v>200</v>
      </c>
      <c r="C2" s="82" t="s">
        <v>340</v>
      </c>
      <c r="D2" s="82" t="s">
        <v>341</v>
      </c>
      <c r="E2" s="82" t="s">
        <v>342</v>
      </c>
      <c r="F2" s="82" t="s">
        <v>198</v>
      </c>
      <c r="G2" s="82" t="s">
        <v>238</v>
      </c>
      <c r="H2" s="82" t="s">
        <v>238</v>
      </c>
      <c r="I2" s="82" t="s">
        <v>238</v>
      </c>
      <c r="J2" s="82" t="s">
        <v>200</v>
      </c>
      <c r="K2" s="82">
        <v>741.43</v>
      </c>
      <c r="L2" s="82">
        <v>148.28</v>
      </c>
      <c r="M2" s="82">
        <v>889.71</v>
      </c>
      <c r="N2" s="82" t="s">
        <v>202</v>
      </c>
      <c r="O2" s="82" t="s">
        <v>343</v>
      </c>
      <c r="P2" s="82" t="s">
        <v>338</v>
      </c>
      <c r="R2" s="80" t="s">
        <v>329</v>
      </c>
      <c r="S2" s="81" t="s">
        <v>204</v>
      </c>
    </row>
    <row r="3" spans="1:19">
      <c r="A3" s="82" t="s">
        <v>344</v>
      </c>
      <c r="B3" s="82" t="s">
        <v>200</v>
      </c>
      <c r="C3" s="82" t="s">
        <v>340</v>
      </c>
      <c r="D3" s="82" t="s">
        <v>345</v>
      </c>
      <c r="E3" s="82" t="s">
        <v>342</v>
      </c>
      <c r="F3" s="82" t="s">
        <v>198</v>
      </c>
      <c r="G3" s="82" t="s">
        <v>238</v>
      </c>
      <c r="H3" s="82" t="s">
        <v>238</v>
      </c>
      <c r="I3" s="82" t="s">
        <v>238</v>
      </c>
      <c r="J3" s="82" t="s">
        <v>200</v>
      </c>
      <c r="K3" s="82">
        <v>14539.81</v>
      </c>
      <c r="L3" s="82">
        <v>2907.96</v>
      </c>
      <c r="M3" s="82">
        <v>17447.77</v>
      </c>
      <c r="N3" s="82" t="s">
        <v>202</v>
      </c>
      <c r="O3" s="82" t="s">
        <v>343</v>
      </c>
      <c r="P3" s="82" t="s">
        <v>338</v>
      </c>
      <c r="R3" s="80" t="s">
        <v>341</v>
      </c>
      <c r="S3" s="81">
        <v>6966.16</v>
      </c>
    </row>
    <row r="4" spans="1:19">
      <c r="A4" s="82" t="s">
        <v>346</v>
      </c>
      <c r="B4" s="82" t="s">
        <v>200</v>
      </c>
      <c r="C4" s="82" t="s">
        <v>340</v>
      </c>
      <c r="D4" s="82" t="s">
        <v>347</v>
      </c>
      <c r="E4" s="82" t="s">
        <v>342</v>
      </c>
      <c r="F4" s="82" t="s">
        <v>198</v>
      </c>
      <c r="G4" s="82" t="s">
        <v>238</v>
      </c>
      <c r="H4" s="82" t="s">
        <v>238</v>
      </c>
      <c r="I4" s="82" t="s">
        <v>238</v>
      </c>
      <c r="J4" s="82" t="s">
        <v>200</v>
      </c>
      <c r="K4" s="82">
        <v>1567.37</v>
      </c>
      <c r="L4" s="82">
        <v>313.47000000000003</v>
      </c>
      <c r="M4" s="82">
        <v>1880.84</v>
      </c>
      <c r="N4" s="82" t="s">
        <v>202</v>
      </c>
      <c r="O4" s="82" t="s">
        <v>343</v>
      </c>
      <c r="P4" s="82" t="s">
        <v>338</v>
      </c>
      <c r="R4" s="84" t="s">
        <v>348</v>
      </c>
      <c r="S4" s="85">
        <v>6848.7800000000007</v>
      </c>
    </row>
    <row r="5" spans="1:19">
      <c r="A5" s="82" t="s">
        <v>349</v>
      </c>
      <c r="B5" s="82" t="s">
        <v>200</v>
      </c>
      <c r="C5" s="82" t="s">
        <v>350</v>
      </c>
      <c r="D5" s="82" t="s">
        <v>351</v>
      </c>
      <c r="E5" s="82" t="s">
        <v>342</v>
      </c>
      <c r="F5" s="82" t="s">
        <v>198</v>
      </c>
      <c r="G5" s="82" t="s">
        <v>263</v>
      </c>
      <c r="H5" s="82" t="s">
        <v>263</v>
      </c>
      <c r="I5" s="82" t="s">
        <v>263</v>
      </c>
      <c r="J5" s="82" t="s">
        <v>200</v>
      </c>
      <c r="K5" s="82">
        <v>9965.2199999999993</v>
      </c>
      <c r="L5" s="82">
        <v>1993.04</v>
      </c>
      <c r="M5" s="82">
        <v>11958.26</v>
      </c>
      <c r="N5" s="82" t="s">
        <v>202</v>
      </c>
      <c r="O5" s="82" t="s">
        <v>343</v>
      </c>
      <c r="P5" s="82" t="s">
        <v>338</v>
      </c>
      <c r="R5" s="84" t="s">
        <v>345</v>
      </c>
      <c r="S5" s="85">
        <v>188995.11000000002</v>
      </c>
    </row>
    <row r="6" spans="1:19">
      <c r="A6" s="82" t="s">
        <v>352</v>
      </c>
      <c r="B6" s="82" t="s">
        <v>200</v>
      </c>
      <c r="C6" s="82" t="s">
        <v>350</v>
      </c>
      <c r="D6" s="82" t="s">
        <v>347</v>
      </c>
      <c r="E6" s="82" t="s">
        <v>342</v>
      </c>
      <c r="F6" s="82" t="s">
        <v>198</v>
      </c>
      <c r="G6" s="82" t="s">
        <v>263</v>
      </c>
      <c r="H6" s="82" t="s">
        <v>263</v>
      </c>
      <c r="I6" s="82" t="s">
        <v>263</v>
      </c>
      <c r="J6" s="82" t="s">
        <v>200</v>
      </c>
      <c r="K6" s="82">
        <v>3335.12</v>
      </c>
      <c r="L6" s="82">
        <v>667.02</v>
      </c>
      <c r="M6" s="82">
        <v>4002.14</v>
      </c>
      <c r="N6" s="82" t="s">
        <v>202</v>
      </c>
      <c r="O6" s="82" t="s">
        <v>343</v>
      </c>
      <c r="P6" s="82" t="s">
        <v>338</v>
      </c>
      <c r="R6" s="84" t="s">
        <v>351</v>
      </c>
      <c r="S6" s="85">
        <v>140925.84999999998</v>
      </c>
    </row>
    <row r="7" spans="1:19">
      <c r="A7" s="82" t="s">
        <v>353</v>
      </c>
      <c r="B7" s="82" t="s">
        <v>200</v>
      </c>
      <c r="C7" s="82" t="s">
        <v>354</v>
      </c>
      <c r="D7" s="82" t="s">
        <v>348</v>
      </c>
      <c r="E7" s="82" t="s">
        <v>342</v>
      </c>
      <c r="F7" s="82" t="s">
        <v>198</v>
      </c>
      <c r="G7" s="82" t="s">
        <v>199</v>
      </c>
      <c r="H7" s="82" t="s">
        <v>199</v>
      </c>
      <c r="I7" s="82" t="s">
        <v>199</v>
      </c>
      <c r="J7" s="82" t="s">
        <v>200</v>
      </c>
      <c r="K7" s="82">
        <v>608.13</v>
      </c>
      <c r="L7" s="82">
        <v>121.62</v>
      </c>
      <c r="M7" s="82">
        <v>729.75</v>
      </c>
      <c r="N7" s="82" t="s">
        <v>202</v>
      </c>
      <c r="O7" s="82" t="s">
        <v>343</v>
      </c>
      <c r="P7" s="82" t="s">
        <v>338</v>
      </c>
      <c r="R7" s="84" t="s">
        <v>355</v>
      </c>
      <c r="S7" s="86">
        <v>44350.06</v>
      </c>
    </row>
    <row r="8" spans="1:19">
      <c r="A8" s="82" t="s">
        <v>356</v>
      </c>
      <c r="B8" s="82" t="s">
        <v>200</v>
      </c>
      <c r="C8" s="82" t="s">
        <v>354</v>
      </c>
      <c r="D8" s="82" t="s">
        <v>355</v>
      </c>
      <c r="E8" s="82" t="s">
        <v>342</v>
      </c>
      <c r="F8" s="82" t="s">
        <v>198</v>
      </c>
      <c r="G8" s="82" t="s">
        <v>199</v>
      </c>
      <c r="H8" s="82" t="s">
        <v>199</v>
      </c>
      <c r="I8" s="82" t="s">
        <v>199</v>
      </c>
      <c r="J8" s="82" t="s">
        <v>200</v>
      </c>
      <c r="K8" s="82">
        <v>3475.62</v>
      </c>
      <c r="L8" s="82">
        <v>695.12</v>
      </c>
      <c r="M8" s="82">
        <v>4170.74</v>
      </c>
      <c r="N8" s="82" t="s">
        <v>202</v>
      </c>
      <c r="O8" s="82" t="s">
        <v>343</v>
      </c>
      <c r="P8" s="82" t="s">
        <v>338</v>
      </c>
      <c r="R8" s="84" t="s">
        <v>347</v>
      </c>
      <c r="S8" s="86">
        <v>43711.350000000006</v>
      </c>
    </row>
    <row r="9" spans="1:19">
      <c r="A9" s="82" t="s">
        <v>357</v>
      </c>
      <c r="B9" s="82" t="s">
        <v>200</v>
      </c>
      <c r="C9" s="82" t="s">
        <v>358</v>
      </c>
      <c r="D9" s="82" t="s">
        <v>341</v>
      </c>
      <c r="E9" s="82" t="s">
        <v>342</v>
      </c>
      <c r="F9" s="82" t="s">
        <v>198</v>
      </c>
      <c r="G9" s="82" t="s">
        <v>359</v>
      </c>
      <c r="H9" s="82" t="s">
        <v>359</v>
      </c>
      <c r="I9" s="82" t="s">
        <v>359</v>
      </c>
      <c r="J9" s="82" t="s">
        <v>200</v>
      </c>
      <c r="K9" s="82">
        <v>619.86</v>
      </c>
      <c r="L9" s="82">
        <v>123.97</v>
      </c>
      <c r="M9" s="82">
        <v>743.83</v>
      </c>
      <c r="N9" s="82" t="s">
        <v>202</v>
      </c>
      <c r="O9" s="82" t="s">
        <v>343</v>
      </c>
      <c r="P9" s="82" t="s">
        <v>338</v>
      </c>
      <c r="R9" s="87" t="s">
        <v>228</v>
      </c>
      <c r="S9" s="88">
        <v>431797.31000000006</v>
      </c>
    </row>
    <row r="10" spans="1:19">
      <c r="A10" s="82" t="s">
        <v>360</v>
      </c>
      <c r="B10" s="82" t="s">
        <v>200</v>
      </c>
      <c r="C10" s="82" t="s">
        <v>358</v>
      </c>
      <c r="D10" s="82" t="s">
        <v>348</v>
      </c>
      <c r="E10" s="82" t="s">
        <v>342</v>
      </c>
      <c r="F10" s="82" t="s">
        <v>198</v>
      </c>
      <c r="G10" s="82" t="s">
        <v>359</v>
      </c>
      <c r="H10" s="82" t="s">
        <v>359</v>
      </c>
      <c r="I10" s="82" t="s">
        <v>359</v>
      </c>
      <c r="J10" s="82" t="s">
        <v>200</v>
      </c>
      <c r="K10" s="82">
        <v>552.17999999999995</v>
      </c>
      <c r="L10" s="82">
        <v>110.43</v>
      </c>
      <c r="M10" s="82">
        <v>662.61</v>
      </c>
      <c r="N10" s="82" t="s">
        <v>202</v>
      </c>
      <c r="O10" s="82" t="s">
        <v>343</v>
      </c>
      <c r="P10" s="82" t="s">
        <v>338</v>
      </c>
    </row>
    <row r="11" spans="1:19">
      <c r="A11" s="82" t="s">
        <v>361</v>
      </c>
      <c r="B11" s="82" t="s">
        <v>200</v>
      </c>
      <c r="C11" s="82" t="s">
        <v>358</v>
      </c>
      <c r="D11" s="82" t="s">
        <v>345</v>
      </c>
      <c r="E11" s="82" t="s">
        <v>342</v>
      </c>
      <c r="F11" s="82" t="s">
        <v>198</v>
      </c>
      <c r="G11" s="82" t="s">
        <v>359</v>
      </c>
      <c r="H11" s="82" t="s">
        <v>359</v>
      </c>
      <c r="I11" s="82" t="s">
        <v>359</v>
      </c>
      <c r="J11" s="82" t="s">
        <v>200</v>
      </c>
      <c r="K11" s="82">
        <v>14099.38</v>
      </c>
      <c r="L11" s="82">
        <v>2819.87</v>
      </c>
      <c r="M11" s="82">
        <v>16919.25</v>
      </c>
      <c r="N11" s="82" t="s">
        <v>202</v>
      </c>
      <c r="O11" s="82" t="s">
        <v>343</v>
      </c>
      <c r="P11" s="82" t="s">
        <v>338</v>
      </c>
    </row>
    <row r="12" spans="1:19">
      <c r="A12" s="82" t="s">
        <v>362</v>
      </c>
      <c r="B12" s="82" t="s">
        <v>200</v>
      </c>
      <c r="C12" s="82" t="s">
        <v>358</v>
      </c>
      <c r="D12" s="82" t="s">
        <v>351</v>
      </c>
      <c r="E12" s="82" t="s">
        <v>342</v>
      </c>
      <c r="F12" s="82" t="s">
        <v>198</v>
      </c>
      <c r="G12" s="82" t="s">
        <v>359</v>
      </c>
      <c r="H12" s="82" t="s">
        <v>359</v>
      </c>
      <c r="I12" s="82" t="s">
        <v>359</v>
      </c>
      <c r="J12" s="82" t="s">
        <v>200</v>
      </c>
      <c r="K12" s="82">
        <v>9940.65</v>
      </c>
      <c r="L12" s="82">
        <v>1988.13</v>
      </c>
      <c r="M12" s="82">
        <v>11928.78</v>
      </c>
      <c r="N12" s="82" t="s">
        <v>202</v>
      </c>
      <c r="O12" s="82" t="s">
        <v>343</v>
      </c>
      <c r="P12" s="82" t="s">
        <v>338</v>
      </c>
      <c r="S12" s="79">
        <f>+GETPIVOTDATA("Montant TTC",$R$1,"Débiteur","007371 - SELAS DOCTEUR BERRAF")+GETPIVOTDATA("Montant TTC",$R$1,"Débiteur","006553 - KUTSAROV")+GETPIVOTDATA("Montant TTC",$R$1,"Débiteur","006438 - JORROT")</f>
        <v>336769.74</v>
      </c>
    </row>
    <row r="13" spans="1:19">
      <c r="A13" s="82" t="s">
        <v>363</v>
      </c>
      <c r="B13" s="82" t="s">
        <v>200</v>
      </c>
      <c r="C13" s="82" t="s">
        <v>358</v>
      </c>
      <c r="D13" s="82" t="s">
        <v>355</v>
      </c>
      <c r="E13" s="82" t="s">
        <v>342</v>
      </c>
      <c r="F13" s="82" t="s">
        <v>198</v>
      </c>
      <c r="G13" s="82" t="s">
        <v>359</v>
      </c>
      <c r="H13" s="82" t="s">
        <v>359</v>
      </c>
      <c r="I13" s="82" t="s">
        <v>359</v>
      </c>
      <c r="J13" s="82" t="s">
        <v>200</v>
      </c>
      <c r="K13" s="82">
        <v>3757.18</v>
      </c>
      <c r="L13" s="82">
        <v>751.44</v>
      </c>
      <c r="M13" s="82">
        <v>4508.62</v>
      </c>
      <c r="N13" s="82" t="s">
        <v>202</v>
      </c>
      <c r="O13" s="82" t="s">
        <v>343</v>
      </c>
      <c r="P13" s="82" t="s">
        <v>338</v>
      </c>
    </row>
    <row r="14" spans="1:19">
      <c r="A14" s="82" t="s">
        <v>364</v>
      </c>
      <c r="B14" s="82" t="s">
        <v>200</v>
      </c>
      <c r="C14" s="82" t="s">
        <v>358</v>
      </c>
      <c r="D14" s="82" t="s">
        <v>347</v>
      </c>
      <c r="E14" s="82" t="s">
        <v>342</v>
      </c>
      <c r="F14" s="82" t="s">
        <v>198</v>
      </c>
      <c r="G14" s="82" t="s">
        <v>359</v>
      </c>
      <c r="H14" s="82" t="s">
        <v>359</v>
      </c>
      <c r="I14" s="82" t="s">
        <v>359</v>
      </c>
      <c r="J14" s="82" t="s">
        <v>200</v>
      </c>
      <c r="K14" s="82">
        <v>2517.63</v>
      </c>
      <c r="L14" s="82">
        <v>503.53</v>
      </c>
      <c r="M14" s="82">
        <v>3021.16</v>
      </c>
      <c r="N14" s="82" t="s">
        <v>202</v>
      </c>
      <c r="O14" s="82" t="s">
        <v>343</v>
      </c>
      <c r="P14" s="82" t="s">
        <v>338</v>
      </c>
    </row>
    <row r="15" spans="1:19">
      <c r="A15" s="82" t="s">
        <v>365</v>
      </c>
      <c r="B15" s="82" t="s">
        <v>200</v>
      </c>
      <c r="C15" s="82" t="s">
        <v>366</v>
      </c>
      <c r="D15" s="82" t="s">
        <v>345</v>
      </c>
      <c r="E15" s="82" t="s">
        <v>342</v>
      </c>
      <c r="F15" s="82" t="s">
        <v>198</v>
      </c>
      <c r="G15" s="82" t="s">
        <v>367</v>
      </c>
      <c r="H15" s="82" t="s">
        <v>367</v>
      </c>
      <c r="I15" s="82" t="s">
        <v>367</v>
      </c>
      <c r="J15" s="82" t="s">
        <v>200</v>
      </c>
      <c r="K15" s="82">
        <v>14784.66</v>
      </c>
      <c r="L15" s="82">
        <v>2956.93</v>
      </c>
      <c r="M15" s="82">
        <v>17741.59</v>
      </c>
      <c r="N15" s="82" t="s">
        <v>202</v>
      </c>
      <c r="O15" s="82" t="s">
        <v>343</v>
      </c>
      <c r="P15" s="82" t="s">
        <v>338</v>
      </c>
    </row>
    <row r="16" spans="1:19">
      <c r="A16" s="82" t="s">
        <v>368</v>
      </c>
      <c r="B16" s="82" t="s">
        <v>200</v>
      </c>
      <c r="C16" s="82" t="s">
        <v>366</v>
      </c>
      <c r="D16" s="82" t="s">
        <v>347</v>
      </c>
      <c r="E16" s="82" t="s">
        <v>342</v>
      </c>
      <c r="F16" s="82" t="s">
        <v>198</v>
      </c>
      <c r="G16" s="82" t="s">
        <v>367</v>
      </c>
      <c r="H16" s="82" t="s">
        <v>367</v>
      </c>
      <c r="I16" s="82" t="s">
        <v>367</v>
      </c>
      <c r="J16" s="82" t="s">
        <v>200</v>
      </c>
      <c r="K16" s="82">
        <v>1813.23</v>
      </c>
      <c r="L16" s="82">
        <v>362.64</v>
      </c>
      <c r="M16" s="82">
        <v>2175.87</v>
      </c>
      <c r="N16" s="82" t="s">
        <v>202</v>
      </c>
      <c r="O16" s="82" t="s">
        <v>343</v>
      </c>
      <c r="P16" s="82" t="s">
        <v>338</v>
      </c>
    </row>
    <row r="17" spans="1:16">
      <c r="A17" s="82" t="s">
        <v>369</v>
      </c>
      <c r="B17" s="82" t="s">
        <v>200</v>
      </c>
      <c r="C17" s="82" t="s">
        <v>370</v>
      </c>
      <c r="D17" s="82" t="s">
        <v>351</v>
      </c>
      <c r="E17" s="82" t="s">
        <v>342</v>
      </c>
      <c r="F17" s="82" t="s">
        <v>198</v>
      </c>
      <c r="G17" s="82" t="s">
        <v>267</v>
      </c>
      <c r="H17" s="82" t="s">
        <v>267</v>
      </c>
      <c r="I17" s="82" t="s">
        <v>267</v>
      </c>
      <c r="J17" s="82" t="s">
        <v>200</v>
      </c>
      <c r="K17" s="82">
        <v>13279.72</v>
      </c>
      <c r="L17" s="82">
        <v>2655.94</v>
      </c>
      <c r="M17" s="82">
        <v>15935.66</v>
      </c>
      <c r="N17" s="82" t="s">
        <v>202</v>
      </c>
      <c r="O17" s="82" t="s">
        <v>343</v>
      </c>
      <c r="P17" s="82" t="s">
        <v>338</v>
      </c>
    </row>
    <row r="18" spans="1:16">
      <c r="A18" s="82" t="s">
        <v>371</v>
      </c>
      <c r="B18" s="82" t="s">
        <v>200</v>
      </c>
      <c r="C18" s="82" t="s">
        <v>370</v>
      </c>
      <c r="D18" s="82" t="s">
        <v>355</v>
      </c>
      <c r="E18" s="82" t="s">
        <v>342</v>
      </c>
      <c r="F18" s="82" t="s">
        <v>198</v>
      </c>
      <c r="G18" s="82" t="s">
        <v>267</v>
      </c>
      <c r="H18" s="82" t="s">
        <v>267</v>
      </c>
      <c r="I18" s="82" t="s">
        <v>267</v>
      </c>
      <c r="J18" s="82" t="s">
        <v>200</v>
      </c>
      <c r="K18" s="82">
        <v>5011.92</v>
      </c>
      <c r="L18" s="82">
        <v>1002.38</v>
      </c>
      <c r="M18" s="82">
        <v>6014.3</v>
      </c>
      <c r="N18" s="82" t="s">
        <v>202</v>
      </c>
      <c r="O18" s="82" t="s">
        <v>343</v>
      </c>
      <c r="P18" s="82" t="s">
        <v>338</v>
      </c>
    </row>
    <row r="19" spans="1:16">
      <c r="A19" s="82" t="s">
        <v>372</v>
      </c>
      <c r="B19" s="82" t="s">
        <v>200</v>
      </c>
      <c r="C19" s="82" t="s">
        <v>373</v>
      </c>
      <c r="D19" s="82" t="s">
        <v>341</v>
      </c>
      <c r="E19" s="82" t="s">
        <v>342</v>
      </c>
      <c r="F19" s="82" t="s">
        <v>198</v>
      </c>
      <c r="G19" s="82" t="s">
        <v>374</v>
      </c>
      <c r="H19" s="82" t="s">
        <v>374</v>
      </c>
      <c r="I19" s="82" t="s">
        <v>374</v>
      </c>
      <c r="J19" s="82" t="s">
        <v>200</v>
      </c>
      <c r="K19" s="82">
        <v>521.16</v>
      </c>
      <c r="L19" s="82">
        <v>104.23</v>
      </c>
      <c r="M19" s="82">
        <v>625.39</v>
      </c>
      <c r="N19" s="82" t="s">
        <v>202</v>
      </c>
      <c r="O19" s="82" t="s">
        <v>343</v>
      </c>
      <c r="P19" s="82" t="s">
        <v>338</v>
      </c>
    </row>
    <row r="20" spans="1:16">
      <c r="A20" s="82" t="s">
        <v>375</v>
      </c>
      <c r="B20" s="82" t="s">
        <v>200</v>
      </c>
      <c r="C20" s="82" t="s">
        <v>373</v>
      </c>
      <c r="D20" s="82" t="s">
        <v>341</v>
      </c>
      <c r="E20" s="82" t="s">
        <v>342</v>
      </c>
      <c r="F20" s="82" t="s">
        <v>198</v>
      </c>
      <c r="G20" s="82" t="s">
        <v>374</v>
      </c>
      <c r="H20" s="82" t="s">
        <v>374</v>
      </c>
      <c r="I20" s="82" t="s">
        <v>374</v>
      </c>
      <c r="J20" s="82" t="s">
        <v>200</v>
      </c>
      <c r="K20" s="82">
        <v>533.17999999999995</v>
      </c>
      <c r="L20" s="82">
        <v>106.63</v>
      </c>
      <c r="M20" s="82">
        <v>639.80999999999995</v>
      </c>
      <c r="N20" s="82" t="s">
        <v>202</v>
      </c>
      <c r="O20" s="82" t="s">
        <v>343</v>
      </c>
      <c r="P20" s="82" t="s">
        <v>338</v>
      </c>
    </row>
    <row r="21" spans="1:16">
      <c r="A21" s="82" t="s">
        <v>376</v>
      </c>
      <c r="B21" s="82" t="s">
        <v>200</v>
      </c>
      <c r="C21" s="82" t="s">
        <v>373</v>
      </c>
      <c r="D21" s="82" t="s">
        <v>348</v>
      </c>
      <c r="E21" s="82" t="s">
        <v>342</v>
      </c>
      <c r="F21" s="82" t="s">
        <v>198</v>
      </c>
      <c r="G21" s="82" t="s">
        <v>374</v>
      </c>
      <c r="H21" s="82" t="s">
        <v>374</v>
      </c>
      <c r="I21" s="82" t="s">
        <v>374</v>
      </c>
      <c r="J21" s="82" t="s">
        <v>200</v>
      </c>
      <c r="K21" s="82">
        <v>842.67</v>
      </c>
      <c r="L21" s="82">
        <v>168.53</v>
      </c>
      <c r="M21" s="82">
        <v>1011.2</v>
      </c>
      <c r="N21" s="82" t="s">
        <v>202</v>
      </c>
      <c r="O21" s="82" t="s">
        <v>343</v>
      </c>
      <c r="P21" s="82" t="s">
        <v>338</v>
      </c>
    </row>
    <row r="22" spans="1:16">
      <c r="A22" s="82" t="s">
        <v>377</v>
      </c>
      <c r="B22" s="82" t="s">
        <v>200</v>
      </c>
      <c r="C22" s="82" t="s">
        <v>378</v>
      </c>
      <c r="D22" s="82" t="s">
        <v>355</v>
      </c>
      <c r="E22" s="82" t="s">
        <v>342</v>
      </c>
      <c r="F22" s="82" t="s">
        <v>198</v>
      </c>
      <c r="G22" s="82" t="s">
        <v>209</v>
      </c>
      <c r="H22" s="82" t="s">
        <v>209</v>
      </c>
      <c r="I22" s="82" t="s">
        <v>209</v>
      </c>
      <c r="J22" s="82" t="s">
        <v>200</v>
      </c>
      <c r="K22" s="82">
        <v>4525.2700000000004</v>
      </c>
      <c r="L22" s="82">
        <v>905.05</v>
      </c>
      <c r="M22" s="82">
        <v>5430.32</v>
      </c>
      <c r="N22" s="82" t="s">
        <v>202</v>
      </c>
      <c r="O22" s="82" t="s">
        <v>343</v>
      </c>
      <c r="P22" s="82" t="s">
        <v>338</v>
      </c>
    </row>
    <row r="23" spans="1:16">
      <c r="A23" s="82" t="s">
        <v>379</v>
      </c>
      <c r="B23" s="82" t="s">
        <v>200</v>
      </c>
      <c r="C23" s="82" t="s">
        <v>380</v>
      </c>
      <c r="D23" s="82" t="s">
        <v>347</v>
      </c>
      <c r="E23" s="82" t="s">
        <v>342</v>
      </c>
      <c r="F23" s="82" t="s">
        <v>198</v>
      </c>
      <c r="G23" s="82" t="s">
        <v>297</v>
      </c>
      <c r="H23" s="82" t="s">
        <v>297</v>
      </c>
      <c r="I23" s="82" t="s">
        <v>297</v>
      </c>
      <c r="J23" s="82" t="s">
        <v>200</v>
      </c>
      <c r="K23" s="82">
        <v>2530.63</v>
      </c>
      <c r="L23" s="82">
        <v>506.13</v>
      </c>
      <c r="M23" s="82">
        <v>3036.76</v>
      </c>
      <c r="N23" s="82" t="s">
        <v>202</v>
      </c>
      <c r="O23" s="82" t="s">
        <v>343</v>
      </c>
      <c r="P23" s="82" t="s">
        <v>338</v>
      </c>
    </row>
    <row r="24" spans="1:16">
      <c r="A24" s="82" t="s">
        <v>381</v>
      </c>
      <c r="B24" s="82" t="s">
        <v>200</v>
      </c>
      <c r="C24" s="82" t="s">
        <v>382</v>
      </c>
      <c r="D24" s="82" t="s">
        <v>341</v>
      </c>
      <c r="E24" s="82" t="s">
        <v>342</v>
      </c>
      <c r="F24" s="82" t="s">
        <v>198</v>
      </c>
      <c r="G24" s="82" t="s">
        <v>212</v>
      </c>
      <c r="H24" s="82" t="s">
        <v>212</v>
      </c>
      <c r="I24" s="82" t="s">
        <v>212</v>
      </c>
      <c r="J24" s="82" t="s">
        <v>200</v>
      </c>
      <c r="K24" s="82">
        <v>509.49</v>
      </c>
      <c r="L24" s="82">
        <v>101.9</v>
      </c>
      <c r="M24" s="82">
        <v>611.39</v>
      </c>
      <c r="N24" s="82" t="s">
        <v>202</v>
      </c>
      <c r="O24" s="82" t="s">
        <v>343</v>
      </c>
      <c r="P24" s="82" t="s">
        <v>338</v>
      </c>
    </row>
    <row r="25" spans="1:16">
      <c r="A25" s="82" t="s">
        <v>383</v>
      </c>
      <c r="B25" s="82" t="s">
        <v>200</v>
      </c>
      <c r="C25" s="82" t="s">
        <v>382</v>
      </c>
      <c r="D25" s="82" t="s">
        <v>348</v>
      </c>
      <c r="E25" s="82" t="s">
        <v>342</v>
      </c>
      <c r="F25" s="82" t="s">
        <v>198</v>
      </c>
      <c r="G25" s="82" t="s">
        <v>212</v>
      </c>
      <c r="H25" s="82" t="s">
        <v>212</v>
      </c>
      <c r="I25" s="82" t="s">
        <v>212</v>
      </c>
      <c r="J25" s="82" t="s">
        <v>200</v>
      </c>
      <c r="K25" s="82">
        <v>134.09</v>
      </c>
      <c r="L25" s="82">
        <v>26.82</v>
      </c>
      <c r="M25" s="82">
        <v>160.91</v>
      </c>
      <c r="N25" s="82" t="s">
        <v>202</v>
      </c>
      <c r="O25" s="82" t="s">
        <v>343</v>
      </c>
      <c r="P25" s="82" t="s">
        <v>338</v>
      </c>
    </row>
    <row r="26" spans="1:16">
      <c r="A26" s="82" t="s">
        <v>384</v>
      </c>
      <c r="B26" s="82" t="s">
        <v>200</v>
      </c>
      <c r="C26" s="82" t="s">
        <v>382</v>
      </c>
      <c r="D26" s="82" t="s">
        <v>348</v>
      </c>
      <c r="E26" s="82" t="s">
        <v>342</v>
      </c>
      <c r="F26" s="82" t="s">
        <v>198</v>
      </c>
      <c r="G26" s="82" t="s">
        <v>212</v>
      </c>
      <c r="H26" s="82" t="s">
        <v>212</v>
      </c>
      <c r="I26" s="82" t="s">
        <v>212</v>
      </c>
      <c r="J26" s="82" t="s">
        <v>200</v>
      </c>
      <c r="K26" s="82">
        <v>351.24</v>
      </c>
      <c r="L26" s="82">
        <v>70.25</v>
      </c>
      <c r="M26" s="82">
        <v>421.49</v>
      </c>
      <c r="N26" s="82" t="s">
        <v>202</v>
      </c>
      <c r="O26" s="82" t="s">
        <v>343</v>
      </c>
      <c r="P26" s="82" t="s">
        <v>338</v>
      </c>
    </row>
    <row r="27" spans="1:16">
      <c r="A27" s="82" t="s">
        <v>385</v>
      </c>
      <c r="B27" s="82" t="s">
        <v>200</v>
      </c>
      <c r="C27" s="82" t="s">
        <v>382</v>
      </c>
      <c r="D27" s="82" t="s">
        <v>345</v>
      </c>
      <c r="E27" s="82" t="s">
        <v>342</v>
      </c>
      <c r="F27" s="82" t="s">
        <v>198</v>
      </c>
      <c r="G27" s="82" t="s">
        <v>212</v>
      </c>
      <c r="H27" s="82" t="s">
        <v>212</v>
      </c>
      <c r="I27" s="82" t="s">
        <v>212</v>
      </c>
      <c r="J27" s="82" t="s">
        <v>200</v>
      </c>
      <c r="K27" s="82">
        <v>14800.06</v>
      </c>
      <c r="L27" s="82">
        <v>2960.01</v>
      </c>
      <c r="M27" s="82">
        <v>17760.07</v>
      </c>
      <c r="N27" s="82" t="s">
        <v>202</v>
      </c>
      <c r="O27" s="82" t="s">
        <v>343</v>
      </c>
      <c r="P27" s="82" t="s">
        <v>338</v>
      </c>
    </row>
    <row r="28" spans="1:16">
      <c r="A28" s="82" t="s">
        <v>386</v>
      </c>
      <c r="B28" s="82" t="s">
        <v>200</v>
      </c>
      <c r="C28" s="82" t="s">
        <v>382</v>
      </c>
      <c r="D28" s="82" t="s">
        <v>351</v>
      </c>
      <c r="E28" s="82" t="s">
        <v>342</v>
      </c>
      <c r="F28" s="82" t="s">
        <v>198</v>
      </c>
      <c r="G28" s="82" t="s">
        <v>212</v>
      </c>
      <c r="H28" s="82" t="s">
        <v>212</v>
      </c>
      <c r="I28" s="82" t="s">
        <v>212</v>
      </c>
      <c r="J28" s="82" t="s">
        <v>200</v>
      </c>
      <c r="K28" s="82">
        <v>14273.07</v>
      </c>
      <c r="L28" s="82">
        <v>2854.61</v>
      </c>
      <c r="M28" s="82">
        <v>17127.68</v>
      </c>
      <c r="N28" s="82" t="s">
        <v>202</v>
      </c>
      <c r="O28" s="82" t="s">
        <v>343</v>
      </c>
      <c r="P28" s="82" t="s">
        <v>338</v>
      </c>
    </row>
    <row r="29" spans="1:16">
      <c r="A29" s="82" t="s">
        <v>387</v>
      </c>
      <c r="B29" s="82" t="s">
        <v>200</v>
      </c>
      <c r="C29" s="82" t="s">
        <v>388</v>
      </c>
      <c r="D29" s="82" t="s">
        <v>345</v>
      </c>
      <c r="E29" s="82" t="s">
        <v>342</v>
      </c>
      <c r="F29" s="82" t="s">
        <v>198</v>
      </c>
      <c r="G29" s="82" t="s">
        <v>389</v>
      </c>
      <c r="H29" s="82" t="s">
        <v>389</v>
      </c>
      <c r="I29" s="82" t="s">
        <v>389</v>
      </c>
      <c r="J29" s="82" t="s">
        <v>200</v>
      </c>
      <c r="K29" s="82">
        <v>11434.3</v>
      </c>
      <c r="L29" s="82">
        <v>2286.86</v>
      </c>
      <c r="M29" s="82">
        <v>13721.16</v>
      </c>
      <c r="N29" s="82" t="s">
        <v>202</v>
      </c>
      <c r="O29" s="82" t="s">
        <v>343</v>
      </c>
      <c r="P29" s="82" t="s">
        <v>338</v>
      </c>
    </row>
    <row r="30" spans="1:16">
      <c r="A30" s="82" t="s">
        <v>390</v>
      </c>
      <c r="B30" s="82" t="s">
        <v>200</v>
      </c>
      <c r="C30" s="82" t="s">
        <v>388</v>
      </c>
      <c r="D30" s="82" t="s">
        <v>351</v>
      </c>
      <c r="E30" s="82" t="s">
        <v>342</v>
      </c>
      <c r="F30" s="82" t="s">
        <v>198</v>
      </c>
      <c r="G30" s="82" t="s">
        <v>389</v>
      </c>
      <c r="H30" s="82" t="s">
        <v>389</v>
      </c>
      <c r="I30" s="82" t="s">
        <v>389</v>
      </c>
      <c r="J30" s="82" t="s">
        <v>200</v>
      </c>
      <c r="K30" s="82">
        <v>11411.84</v>
      </c>
      <c r="L30" s="82">
        <v>2282.37</v>
      </c>
      <c r="M30" s="82">
        <v>13694.21</v>
      </c>
      <c r="N30" s="82" t="s">
        <v>202</v>
      </c>
      <c r="O30" s="82" t="s">
        <v>343</v>
      </c>
      <c r="P30" s="82" t="s">
        <v>338</v>
      </c>
    </row>
    <row r="31" spans="1:16">
      <c r="A31" s="82" t="s">
        <v>391</v>
      </c>
      <c r="B31" s="82" t="s">
        <v>200</v>
      </c>
      <c r="C31" s="82" t="s">
        <v>388</v>
      </c>
      <c r="D31" s="82" t="s">
        <v>355</v>
      </c>
      <c r="E31" s="82" t="s">
        <v>342</v>
      </c>
      <c r="F31" s="82" t="s">
        <v>198</v>
      </c>
      <c r="G31" s="82" t="s">
        <v>389</v>
      </c>
      <c r="H31" s="82" t="s">
        <v>389</v>
      </c>
      <c r="I31" s="82" t="s">
        <v>389</v>
      </c>
      <c r="J31" s="82" t="s">
        <v>200</v>
      </c>
      <c r="K31" s="82">
        <v>6135.87</v>
      </c>
      <c r="L31" s="82">
        <v>1227.17</v>
      </c>
      <c r="M31" s="82">
        <v>7363.04</v>
      </c>
      <c r="N31" s="82" t="s">
        <v>202</v>
      </c>
      <c r="O31" s="82" t="s">
        <v>343</v>
      </c>
      <c r="P31" s="82" t="s">
        <v>338</v>
      </c>
    </row>
    <row r="32" spans="1:16">
      <c r="A32" s="82" t="s">
        <v>392</v>
      </c>
      <c r="B32" s="82" t="s">
        <v>200</v>
      </c>
      <c r="C32" s="82" t="s">
        <v>388</v>
      </c>
      <c r="D32" s="82" t="s">
        <v>355</v>
      </c>
      <c r="E32" s="82" t="s">
        <v>342</v>
      </c>
      <c r="F32" s="82" t="s">
        <v>198</v>
      </c>
      <c r="G32" s="82" t="s">
        <v>389</v>
      </c>
      <c r="H32" s="82" t="s">
        <v>389</v>
      </c>
      <c r="I32" s="82" t="s">
        <v>389</v>
      </c>
      <c r="J32" s="82" t="s">
        <v>200</v>
      </c>
      <c r="K32" s="82">
        <v>4330.04</v>
      </c>
      <c r="L32" s="82">
        <v>866.01</v>
      </c>
      <c r="M32" s="82">
        <v>5196.05</v>
      </c>
      <c r="N32" s="82" t="s">
        <v>202</v>
      </c>
      <c r="O32" s="82" t="s">
        <v>343</v>
      </c>
      <c r="P32" s="82" t="s">
        <v>338</v>
      </c>
    </row>
    <row r="33" spans="1:16">
      <c r="A33" s="82" t="s">
        <v>393</v>
      </c>
      <c r="B33" s="82" t="s">
        <v>200</v>
      </c>
      <c r="C33" s="82" t="s">
        <v>388</v>
      </c>
      <c r="D33" s="82" t="s">
        <v>347</v>
      </c>
      <c r="E33" s="82" t="s">
        <v>342</v>
      </c>
      <c r="F33" s="82" t="s">
        <v>198</v>
      </c>
      <c r="G33" s="82" t="s">
        <v>389</v>
      </c>
      <c r="H33" s="82" t="s">
        <v>389</v>
      </c>
      <c r="I33" s="82" t="s">
        <v>389</v>
      </c>
      <c r="J33" s="82" t="s">
        <v>200</v>
      </c>
      <c r="K33" s="82">
        <v>2581.86</v>
      </c>
      <c r="L33" s="82">
        <v>516.37</v>
      </c>
      <c r="M33" s="82">
        <v>3098.23</v>
      </c>
      <c r="N33" s="82" t="s">
        <v>202</v>
      </c>
      <c r="O33" s="82" t="s">
        <v>343</v>
      </c>
      <c r="P33" s="82" t="s">
        <v>338</v>
      </c>
    </row>
    <row r="34" spans="1:16">
      <c r="A34" s="82" t="s">
        <v>394</v>
      </c>
      <c r="B34" s="82" t="s">
        <v>200</v>
      </c>
      <c r="C34" s="82" t="s">
        <v>395</v>
      </c>
      <c r="D34" s="82" t="s">
        <v>348</v>
      </c>
      <c r="E34" s="82" t="s">
        <v>342</v>
      </c>
      <c r="F34" s="82" t="s">
        <v>198</v>
      </c>
      <c r="G34" s="82" t="s">
        <v>218</v>
      </c>
      <c r="H34" s="82" t="s">
        <v>218</v>
      </c>
      <c r="I34" s="82" t="s">
        <v>218</v>
      </c>
      <c r="J34" s="82" t="s">
        <v>200</v>
      </c>
      <c r="K34" s="82">
        <v>726.93</v>
      </c>
      <c r="L34" s="82">
        <v>145.38</v>
      </c>
      <c r="M34" s="82">
        <v>872.31</v>
      </c>
      <c r="N34" s="82" t="s">
        <v>202</v>
      </c>
      <c r="O34" s="82" t="s">
        <v>343</v>
      </c>
      <c r="P34" s="82" t="s">
        <v>338</v>
      </c>
    </row>
    <row r="35" spans="1:16">
      <c r="A35" s="82" t="s">
        <v>396</v>
      </c>
      <c r="B35" s="82" t="s">
        <v>200</v>
      </c>
      <c r="C35" s="82" t="s">
        <v>397</v>
      </c>
      <c r="D35" s="82" t="s">
        <v>341</v>
      </c>
      <c r="E35" s="82" t="s">
        <v>342</v>
      </c>
      <c r="F35" s="82" t="s">
        <v>198</v>
      </c>
      <c r="G35" s="82" t="s">
        <v>319</v>
      </c>
      <c r="H35" s="82" t="s">
        <v>319</v>
      </c>
      <c r="I35" s="82" t="s">
        <v>319</v>
      </c>
      <c r="J35" s="82" t="s">
        <v>200</v>
      </c>
      <c r="K35" s="82">
        <v>442.43</v>
      </c>
      <c r="L35" s="82">
        <v>88.49</v>
      </c>
      <c r="M35" s="82">
        <v>530.91999999999996</v>
      </c>
      <c r="N35" s="82" t="s">
        <v>202</v>
      </c>
      <c r="O35" s="82" t="s">
        <v>343</v>
      </c>
      <c r="P35" s="82" t="s">
        <v>338</v>
      </c>
    </row>
    <row r="36" spans="1:16">
      <c r="A36" s="82" t="s">
        <v>398</v>
      </c>
      <c r="B36" s="82" t="s">
        <v>200</v>
      </c>
      <c r="C36" s="82" t="s">
        <v>399</v>
      </c>
      <c r="D36" s="82" t="s">
        <v>355</v>
      </c>
      <c r="E36" s="82" t="s">
        <v>342</v>
      </c>
      <c r="F36" s="82" t="s">
        <v>198</v>
      </c>
      <c r="G36" s="82" t="s">
        <v>400</v>
      </c>
      <c r="H36" s="82" t="s">
        <v>400</v>
      </c>
      <c r="I36" s="82" t="s">
        <v>400</v>
      </c>
      <c r="J36" s="82" t="s">
        <v>200</v>
      </c>
      <c r="K36" s="82">
        <v>4991.3599999999997</v>
      </c>
      <c r="L36" s="82">
        <v>998.27</v>
      </c>
      <c r="M36" s="82">
        <v>5989.63</v>
      </c>
      <c r="N36" s="82" t="s">
        <v>202</v>
      </c>
      <c r="O36" s="82" t="s">
        <v>343</v>
      </c>
      <c r="P36" s="82" t="s">
        <v>338</v>
      </c>
    </row>
    <row r="37" spans="1:16">
      <c r="A37" s="82" t="s">
        <v>401</v>
      </c>
      <c r="B37" s="82" t="s">
        <v>200</v>
      </c>
      <c r="C37" s="82" t="s">
        <v>399</v>
      </c>
      <c r="D37" s="82" t="s">
        <v>347</v>
      </c>
      <c r="E37" s="82" t="s">
        <v>342</v>
      </c>
      <c r="F37" s="82" t="s">
        <v>198</v>
      </c>
      <c r="G37" s="82" t="s">
        <v>400</v>
      </c>
      <c r="H37" s="82" t="s">
        <v>400</v>
      </c>
      <c r="I37" s="82" t="s">
        <v>400</v>
      </c>
      <c r="J37" s="82" t="s">
        <v>200</v>
      </c>
      <c r="K37" s="82">
        <v>2443.7600000000002</v>
      </c>
      <c r="L37" s="82">
        <v>488.75</v>
      </c>
      <c r="M37" s="82">
        <v>2932.51</v>
      </c>
      <c r="N37" s="82" t="s">
        <v>202</v>
      </c>
      <c r="O37" s="82" t="s">
        <v>343</v>
      </c>
      <c r="P37" s="82" t="s">
        <v>338</v>
      </c>
    </row>
    <row r="38" spans="1:16">
      <c r="A38" s="82" t="s">
        <v>402</v>
      </c>
      <c r="B38" s="82" t="s">
        <v>200</v>
      </c>
      <c r="C38" s="82" t="s">
        <v>403</v>
      </c>
      <c r="D38" s="82" t="s">
        <v>341</v>
      </c>
      <c r="E38" s="82" t="s">
        <v>342</v>
      </c>
      <c r="F38" s="82" t="s">
        <v>198</v>
      </c>
      <c r="G38" s="82" t="s">
        <v>222</v>
      </c>
      <c r="H38" s="82" t="s">
        <v>222</v>
      </c>
      <c r="I38" s="82" t="s">
        <v>222</v>
      </c>
      <c r="J38" s="82" t="s">
        <v>200</v>
      </c>
      <c r="K38" s="82">
        <v>262.42</v>
      </c>
      <c r="L38" s="82">
        <v>52.48</v>
      </c>
      <c r="M38" s="82">
        <v>314.89999999999998</v>
      </c>
      <c r="N38" s="82" t="s">
        <v>202</v>
      </c>
      <c r="O38" s="82" t="s">
        <v>343</v>
      </c>
      <c r="P38" s="82" t="s">
        <v>338</v>
      </c>
    </row>
    <row r="39" spans="1:16">
      <c r="A39" s="82" t="s">
        <v>404</v>
      </c>
      <c r="B39" s="82" t="s">
        <v>200</v>
      </c>
      <c r="C39" s="82" t="s">
        <v>403</v>
      </c>
      <c r="D39" s="82" t="s">
        <v>348</v>
      </c>
      <c r="E39" s="82" t="s">
        <v>342</v>
      </c>
      <c r="F39" s="82" t="s">
        <v>198</v>
      </c>
      <c r="G39" s="82" t="s">
        <v>222</v>
      </c>
      <c r="H39" s="82" t="s">
        <v>222</v>
      </c>
      <c r="I39" s="82" t="s">
        <v>222</v>
      </c>
      <c r="J39" s="82" t="s">
        <v>200</v>
      </c>
      <c r="K39" s="82">
        <v>382.43</v>
      </c>
      <c r="L39" s="82">
        <v>76.48</v>
      </c>
      <c r="M39" s="82">
        <v>458.91</v>
      </c>
      <c r="N39" s="82" t="s">
        <v>202</v>
      </c>
      <c r="O39" s="82" t="s">
        <v>343</v>
      </c>
      <c r="P39" s="82" t="s">
        <v>338</v>
      </c>
    </row>
    <row r="40" spans="1:16">
      <c r="A40" s="82" t="s">
        <v>405</v>
      </c>
      <c r="B40" s="82" t="s">
        <v>200</v>
      </c>
      <c r="C40" s="82" t="s">
        <v>406</v>
      </c>
      <c r="D40" s="82" t="s">
        <v>345</v>
      </c>
      <c r="E40" s="82" t="s">
        <v>342</v>
      </c>
      <c r="F40" s="82" t="s">
        <v>198</v>
      </c>
      <c r="G40" s="82" t="s">
        <v>248</v>
      </c>
      <c r="H40" s="82" t="s">
        <v>248</v>
      </c>
      <c r="I40" s="82" t="s">
        <v>248</v>
      </c>
      <c r="J40" s="82" t="s">
        <v>200</v>
      </c>
      <c r="K40" s="82">
        <v>11927.38</v>
      </c>
      <c r="L40" s="82">
        <v>2385.4699999999998</v>
      </c>
      <c r="M40" s="82">
        <v>14312.85</v>
      </c>
      <c r="N40" s="82" t="s">
        <v>202</v>
      </c>
      <c r="O40" s="82" t="s">
        <v>343</v>
      </c>
      <c r="P40" s="82" t="s">
        <v>338</v>
      </c>
    </row>
    <row r="41" spans="1:16">
      <c r="A41" s="82" t="s">
        <v>407</v>
      </c>
      <c r="B41" s="82" t="s">
        <v>200</v>
      </c>
      <c r="C41" s="82" t="s">
        <v>406</v>
      </c>
      <c r="D41" s="82" t="s">
        <v>345</v>
      </c>
      <c r="E41" s="82" t="s">
        <v>342</v>
      </c>
      <c r="F41" s="82" t="s">
        <v>198</v>
      </c>
      <c r="G41" s="82" t="s">
        <v>248</v>
      </c>
      <c r="H41" s="82" t="s">
        <v>248</v>
      </c>
      <c r="I41" s="82" t="s">
        <v>248</v>
      </c>
      <c r="J41" s="82" t="s">
        <v>200</v>
      </c>
      <c r="K41" s="82">
        <v>16105.88</v>
      </c>
      <c r="L41" s="82">
        <v>3221.17</v>
      </c>
      <c r="M41" s="82">
        <v>19327.05</v>
      </c>
      <c r="N41" s="82" t="s">
        <v>202</v>
      </c>
      <c r="O41" s="82" t="s">
        <v>343</v>
      </c>
      <c r="P41" s="82" t="s">
        <v>338</v>
      </c>
    </row>
    <row r="42" spans="1:16">
      <c r="A42" s="82" t="s">
        <v>408</v>
      </c>
      <c r="B42" s="82" t="s">
        <v>200</v>
      </c>
      <c r="C42" s="82" t="s">
        <v>406</v>
      </c>
      <c r="D42" s="82" t="s">
        <v>355</v>
      </c>
      <c r="E42" s="82" t="s">
        <v>342</v>
      </c>
      <c r="F42" s="82" t="s">
        <v>198</v>
      </c>
      <c r="G42" s="82" t="s">
        <v>248</v>
      </c>
      <c r="H42" s="82" t="s">
        <v>248</v>
      </c>
      <c r="I42" s="82" t="s">
        <v>248</v>
      </c>
      <c r="J42" s="82" t="s">
        <v>200</v>
      </c>
      <c r="K42" s="82">
        <v>4731.13</v>
      </c>
      <c r="L42" s="82">
        <v>946.23</v>
      </c>
      <c r="M42" s="82">
        <v>5677.36</v>
      </c>
      <c r="N42" s="82" t="s">
        <v>202</v>
      </c>
      <c r="O42" s="82" t="s">
        <v>343</v>
      </c>
      <c r="P42" s="82" t="s">
        <v>338</v>
      </c>
    </row>
    <row r="43" spans="1:16">
      <c r="A43" s="82" t="s">
        <v>409</v>
      </c>
      <c r="B43" s="82" t="s">
        <v>200</v>
      </c>
      <c r="C43" s="82" t="s">
        <v>406</v>
      </c>
      <c r="D43" s="82" t="s">
        <v>351</v>
      </c>
      <c r="E43" s="82" t="s">
        <v>342</v>
      </c>
      <c r="F43" s="82" t="s">
        <v>198</v>
      </c>
      <c r="G43" s="82" t="s">
        <v>248</v>
      </c>
      <c r="H43" s="82" t="s">
        <v>248</v>
      </c>
      <c r="I43" s="82" t="s">
        <v>248</v>
      </c>
      <c r="J43" s="82" t="s">
        <v>200</v>
      </c>
      <c r="K43" s="82">
        <v>9160.52</v>
      </c>
      <c r="L43" s="82">
        <v>1832.1</v>
      </c>
      <c r="M43" s="82">
        <v>10992.62</v>
      </c>
      <c r="N43" s="82" t="s">
        <v>202</v>
      </c>
      <c r="O43" s="82" t="s">
        <v>343</v>
      </c>
      <c r="P43" s="82" t="s">
        <v>338</v>
      </c>
    </row>
    <row r="44" spans="1:16">
      <c r="A44" s="82" t="s">
        <v>410</v>
      </c>
      <c r="B44" s="82" t="s">
        <v>200</v>
      </c>
      <c r="C44" s="82" t="s">
        <v>406</v>
      </c>
      <c r="D44" s="82" t="s">
        <v>341</v>
      </c>
      <c r="E44" s="82" t="s">
        <v>342</v>
      </c>
      <c r="F44" s="82" t="s">
        <v>198</v>
      </c>
      <c r="G44" s="82" t="s">
        <v>248</v>
      </c>
      <c r="H44" s="82" t="s">
        <v>248</v>
      </c>
      <c r="I44" s="82" t="s">
        <v>248</v>
      </c>
      <c r="J44" s="82" t="s">
        <v>200</v>
      </c>
      <c r="K44" s="82">
        <v>398.54</v>
      </c>
      <c r="L44" s="82">
        <v>79.709999999999994</v>
      </c>
      <c r="M44" s="82">
        <v>478.25</v>
      </c>
      <c r="N44" s="82" t="s">
        <v>202</v>
      </c>
      <c r="O44" s="82" t="s">
        <v>343</v>
      </c>
      <c r="P44" s="82" t="s">
        <v>338</v>
      </c>
    </row>
    <row r="45" spans="1:16">
      <c r="A45" s="82" t="s">
        <v>411</v>
      </c>
      <c r="B45" s="82" t="s">
        <v>200</v>
      </c>
      <c r="C45" s="82" t="s">
        <v>406</v>
      </c>
      <c r="D45" s="82" t="s">
        <v>347</v>
      </c>
      <c r="E45" s="82" t="s">
        <v>342</v>
      </c>
      <c r="F45" s="82" t="s">
        <v>198</v>
      </c>
      <c r="G45" s="82" t="s">
        <v>248</v>
      </c>
      <c r="H45" s="82" t="s">
        <v>248</v>
      </c>
      <c r="I45" s="82" t="s">
        <v>248</v>
      </c>
      <c r="J45" s="82" t="s">
        <v>200</v>
      </c>
      <c r="K45" s="82">
        <v>2377.1999999999998</v>
      </c>
      <c r="L45" s="82">
        <v>475.44</v>
      </c>
      <c r="M45" s="82">
        <v>2852.64</v>
      </c>
      <c r="N45" s="82" t="s">
        <v>202</v>
      </c>
      <c r="O45" s="82" t="s">
        <v>343</v>
      </c>
      <c r="P45" s="82" t="s">
        <v>338</v>
      </c>
    </row>
    <row r="46" spans="1:16">
      <c r="A46" s="82" t="s">
        <v>412</v>
      </c>
      <c r="B46" s="82" t="s">
        <v>200</v>
      </c>
      <c r="C46" s="82" t="s">
        <v>413</v>
      </c>
      <c r="D46" s="82" t="s">
        <v>345</v>
      </c>
      <c r="E46" s="82" t="s">
        <v>342</v>
      </c>
      <c r="F46" s="82" t="s">
        <v>198</v>
      </c>
      <c r="G46" s="82" t="s">
        <v>226</v>
      </c>
      <c r="H46" s="82" t="s">
        <v>226</v>
      </c>
      <c r="I46" s="82" t="s">
        <v>226</v>
      </c>
      <c r="J46" s="82" t="s">
        <v>200</v>
      </c>
      <c r="K46" s="82">
        <v>10647.79</v>
      </c>
      <c r="L46" s="82">
        <v>2129.56</v>
      </c>
      <c r="M46" s="82">
        <v>12777.35</v>
      </c>
      <c r="N46" s="82" t="s">
        <v>202</v>
      </c>
      <c r="O46" s="82" t="s">
        <v>343</v>
      </c>
      <c r="P46" s="82" t="s">
        <v>338</v>
      </c>
    </row>
    <row r="47" spans="1:16">
      <c r="A47" s="82" t="s">
        <v>414</v>
      </c>
      <c r="B47" s="82" t="s">
        <v>200</v>
      </c>
      <c r="C47" s="82" t="s">
        <v>413</v>
      </c>
      <c r="D47" s="82" t="s">
        <v>348</v>
      </c>
      <c r="E47" s="82" t="s">
        <v>342</v>
      </c>
      <c r="F47" s="82" t="s">
        <v>198</v>
      </c>
      <c r="G47" s="82" t="s">
        <v>226</v>
      </c>
      <c r="H47" s="82" t="s">
        <v>226</v>
      </c>
      <c r="I47" s="82" t="s">
        <v>226</v>
      </c>
      <c r="J47" s="82" t="s">
        <v>200</v>
      </c>
      <c r="K47" s="82">
        <v>415.93</v>
      </c>
      <c r="L47" s="82">
        <v>83.18</v>
      </c>
      <c r="M47" s="82">
        <v>499.11</v>
      </c>
      <c r="N47" s="82" t="s">
        <v>202</v>
      </c>
      <c r="O47" s="82" t="s">
        <v>343</v>
      </c>
      <c r="P47" s="82" t="s">
        <v>338</v>
      </c>
    </row>
    <row r="48" spans="1:16">
      <c r="A48" s="82" t="s">
        <v>415</v>
      </c>
      <c r="B48" s="82" t="s">
        <v>200</v>
      </c>
      <c r="C48" s="82" t="s">
        <v>416</v>
      </c>
      <c r="D48" s="82" t="s">
        <v>347</v>
      </c>
      <c r="E48" s="82" t="s">
        <v>342</v>
      </c>
      <c r="F48" s="82" t="s">
        <v>198</v>
      </c>
      <c r="G48" s="82" t="s">
        <v>303</v>
      </c>
      <c r="H48" s="82" t="s">
        <v>303</v>
      </c>
      <c r="I48" s="82" t="s">
        <v>303</v>
      </c>
      <c r="J48" s="82" t="s">
        <v>200</v>
      </c>
      <c r="K48" s="82">
        <v>3849.56</v>
      </c>
      <c r="L48" s="82">
        <v>769.91</v>
      </c>
      <c r="M48" s="82">
        <v>4619.47</v>
      </c>
      <c r="N48" s="82" t="s">
        <v>202</v>
      </c>
      <c r="O48" s="82" t="s">
        <v>343</v>
      </c>
      <c r="P48" s="82" t="s">
        <v>338</v>
      </c>
    </row>
    <row r="49" spans="1:16">
      <c r="A49" s="82" t="s">
        <v>417</v>
      </c>
      <c r="B49" s="82" t="s">
        <v>200</v>
      </c>
      <c r="C49" s="82" t="s">
        <v>418</v>
      </c>
      <c r="D49" s="82" t="s">
        <v>351</v>
      </c>
      <c r="E49" s="82" t="s">
        <v>342</v>
      </c>
      <c r="F49" s="82" t="s">
        <v>198</v>
      </c>
      <c r="G49" s="82" t="s">
        <v>419</v>
      </c>
      <c r="H49" s="82" t="s">
        <v>419</v>
      </c>
      <c r="I49" s="82" t="s">
        <v>419</v>
      </c>
      <c r="J49" s="82" t="s">
        <v>200</v>
      </c>
      <c r="K49" s="82">
        <v>11319.57</v>
      </c>
      <c r="L49" s="82">
        <v>2263.91</v>
      </c>
      <c r="M49" s="82">
        <v>13583.48</v>
      </c>
      <c r="N49" s="82" t="s">
        <v>202</v>
      </c>
      <c r="O49" s="82" t="s">
        <v>343</v>
      </c>
      <c r="P49" s="82" t="s">
        <v>338</v>
      </c>
    </row>
    <row r="50" spans="1:16">
      <c r="A50" s="82" t="s">
        <v>420</v>
      </c>
      <c r="B50" s="82" t="s">
        <v>200</v>
      </c>
      <c r="C50" s="82" t="s">
        <v>418</v>
      </c>
      <c r="D50" s="82" t="s">
        <v>341</v>
      </c>
      <c r="E50" s="82" t="s">
        <v>342</v>
      </c>
      <c r="F50" s="82" t="s">
        <v>198</v>
      </c>
      <c r="G50" s="82" t="s">
        <v>419</v>
      </c>
      <c r="H50" s="82" t="s">
        <v>419</v>
      </c>
      <c r="I50" s="82" t="s">
        <v>419</v>
      </c>
      <c r="J50" s="82" t="s">
        <v>200</v>
      </c>
      <c r="K50" s="82">
        <v>531.13</v>
      </c>
      <c r="L50" s="82">
        <v>106.23</v>
      </c>
      <c r="M50" s="82">
        <v>637.36</v>
      </c>
      <c r="N50" s="82" t="s">
        <v>202</v>
      </c>
      <c r="O50" s="82" t="s">
        <v>343</v>
      </c>
      <c r="P50" s="82" t="s">
        <v>338</v>
      </c>
    </row>
    <row r="51" spans="1:16">
      <c r="A51" s="82" t="s">
        <v>421</v>
      </c>
      <c r="B51" s="82" t="s">
        <v>200</v>
      </c>
      <c r="C51" s="82" t="s">
        <v>422</v>
      </c>
      <c r="D51" s="82" t="s">
        <v>347</v>
      </c>
      <c r="E51" s="82" t="s">
        <v>342</v>
      </c>
      <c r="F51" s="82" t="s">
        <v>198</v>
      </c>
      <c r="G51" s="82" t="s">
        <v>306</v>
      </c>
      <c r="H51" s="82" t="s">
        <v>306</v>
      </c>
      <c r="I51" s="82" t="s">
        <v>306</v>
      </c>
      <c r="J51" s="82" t="s">
        <v>200</v>
      </c>
      <c r="K51" s="82">
        <v>4814.08</v>
      </c>
      <c r="L51" s="82">
        <v>962.82</v>
      </c>
      <c r="M51" s="82">
        <v>5776.9</v>
      </c>
      <c r="N51" s="82" t="s">
        <v>202</v>
      </c>
      <c r="O51" s="82" t="s">
        <v>343</v>
      </c>
      <c r="P51" s="82" t="s">
        <v>338</v>
      </c>
    </row>
    <row r="52" spans="1:16">
      <c r="A52" s="82" t="s">
        <v>423</v>
      </c>
      <c r="B52" s="82" t="s">
        <v>200</v>
      </c>
      <c r="C52" s="82" t="s">
        <v>424</v>
      </c>
      <c r="D52" s="82" t="s">
        <v>345</v>
      </c>
      <c r="E52" s="82" t="s">
        <v>342</v>
      </c>
      <c r="F52" s="82" t="s">
        <v>198</v>
      </c>
      <c r="G52" s="82" t="s">
        <v>253</v>
      </c>
      <c r="H52" s="82" t="s">
        <v>253</v>
      </c>
      <c r="I52" s="82" t="s">
        <v>253</v>
      </c>
      <c r="J52" s="82" t="s">
        <v>200</v>
      </c>
      <c r="K52" s="82">
        <v>13228.59</v>
      </c>
      <c r="L52" s="82">
        <v>2645.72</v>
      </c>
      <c r="M52" s="82">
        <v>15874.31</v>
      </c>
      <c r="N52" s="82" t="s">
        <v>202</v>
      </c>
      <c r="O52" s="82" t="s">
        <v>343</v>
      </c>
      <c r="P52" s="82" t="s">
        <v>338</v>
      </c>
    </row>
    <row r="53" spans="1:16">
      <c r="A53" s="82" t="s">
        <v>425</v>
      </c>
      <c r="B53" s="82" t="s">
        <v>200</v>
      </c>
      <c r="C53" s="82" t="s">
        <v>426</v>
      </c>
      <c r="D53" s="82" t="s">
        <v>345</v>
      </c>
      <c r="E53" s="82" t="s">
        <v>342</v>
      </c>
      <c r="F53" s="82" t="s">
        <v>198</v>
      </c>
      <c r="G53" s="82" t="s">
        <v>230</v>
      </c>
      <c r="H53" s="82" t="s">
        <v>230</v>
      </c>
      <c r="I53" s="82" t="s">
        <v>230</v>
      </c>
      <c r="J53" s="82" t="s">
        <v>200</v>
      </c>
      <c r="K53" s="82">
        <v>10938</v>
      </c>
      <c r="L53" s="82">
        <v>2187.6</v>
      </c>
      <c r="M53" s="82">
        <v>13125.6</v>
      </c>
      <c r="N53" s="82" t="s">
        <v>202</v>
      </c>
      <c r="O53" s="82" t="s">
        <v>343</v>
      </c>
      <c r="P53" s="82" t="s">
        <v>338</v>
      </c>
    </row>
    <row r="54" spans="1:16">
      <c r="A54" s="82" t="s">
        <v>427</v>
      </c>
      <c r="B54" s="82" t="s">
        <v>200</v>
      </c>
      <c r="C54" s="82" t="s">
        <v>426</v>
      </c>
      <c r="D54" s="82" t="s">
        <v>341</v>
      </c>
      <c r="E54" s="82" t="s">
        <v>342</v>
      </c>
      <c r="F54" s="82" t="s">
        <v>198</v>
      </c>
      <c r="G54" s="82" t="s">
        <v>230</v>
      </c>
      <c r="H54" s="82" t="s">
        <v>230</v>
      </c>
      <c r="I54" s="82" t="s">
        <v>230</v>
      </c>
      <c r="J54" s="82" t="s">
        <v>200</v>
      </c>
      <c r="K54" s="82">
        <v>580.12</v>
      </c>
      <c r="L54" s="82">
        <v>116.02</v>
      </c>
      <c r="M54" s="82">
        <v>696.14</v>
      </c>
      <c r="N54" s="82" t="s">
        <v>202</v>
      </c>
      <c r="O54" s="82" t="s">
        <v>343</v>
      </c>
      <c r="P54" s="82" t="s">
        <v>338</v>
      </c>
    </row>
    <row r="55" spans="1:16">
      <c r="A55" s="82" t="s">
        <v>428</v>
      </c>
      <c r="B55" s="82" t="s">
        <v>200</v>
      </c>
      <c r="C55" s="82" t="s">
        <v>426</v>
      </c>
      <c r="D55" s="82" t="s">
        <v>348</v>
      </c>
      <c r="E55" s="82" t="s">
        <v>342</v>
      </c>
      <c r="F55" s="82" t="s">
        <v>198</v>
      </c>
      <c r="G55" s="82" t="s">
        <v>230</v>
      </c>
      <c r="H55" s="82" t="s">
        <v>230</v>
      </c>
      <c r="I55" s="82" t="s">
        <v>230</v>
      </c>
      <c r="J55" s="82" t="s">
        <v>200</v>
      </c>
      <c r="K55" s="82">
        <v>453.28</v>
      </c>
      <c r="L55" s="82">
        <v>90.65</v>
      </c>
      <c r="M55" s="82">
        <v>543.92999999999995</v>
      </c>
      <c r="N55" s="82" t="s">
        <v>202</v>
      </c>
      <c r="O55" s="82" t="s">
        <v>343</v>
      </c>
      <c r="P55" s="82" t="s">
        <v>338</v>
      </c>
    </row>
    <row r="56" spans="1:16">
      <c r="A56" s="82" t="s">
        <v>429</v>
      </c>
      <c r="B56" s="82" t="s">
        <v>200</v>
      </c>
      <c r="C56" s="82" t="s">
        <v>430</v>
      </c>
      <c r="D56" s="82" t="s">
        <v>351</v>
      </c>
      <c r="E56" s="82" t="s">
        <v>342</v>
      </c>
      <c r="F56" s="82" t="s">
        <v>198</v>
      </c>
      <c r="G56" s="82" t="s">
        <v>278</v>
      </c>
      <c r="H56" s="82" t="s">
        <v>278</v>
      </c>
      <c r="I56" s="82" t="s">
        <v>278</v>
      </c>
      <c r="J56" s="82" t="s">
        <v>200</v>
      </c>
      <c r="K56" s="82">
        <v>9684.7800000000007</v>
      </c>
      <c r="L56" s="82">
        <v>1936.96</v>
      </c>
      <c r="M56" s="82">
        <v>11621.74</v>
      </c>
      <c r="N56" s="82" t="s">
        <v>202</v>
      </c>
      <c r="O56" s="82" t="s">
        <v>343</v>
      </c>
      <c r="P56" s="82" t="s">
        <v>338</v>
      </c>
    </row>
    <row r="57" spans="1:16">
      <c r="A57" s="82" t="s">
        <v>431</v>
      </c>
      <c r="B57" s="82" t="s">
        <v>200</v>
      </c>
      <c r="C57" s="82" t="s">
        <v>430</v>
      </c>
      <c r="D57" s="82" t="s">
        <v>347</v>
      </c>
      <c r="E57" s="82" t="s">
        <v>342</v>
      </c>
      <c r="F57" s="82" t="s">
        <v>198</v>
      </c>
      <c r="G57" s="82" t="s">
        <v>278</v>
      </c>
      <c r="H57" s="82" t="s">
        <v>278</v>
      </c>
      <c r="I57" s="82" t="s">
        <v>278</v>
      </c>
      <c r="J57" s="82" t="s">
        <v>200</v>
      </c>
      <c r="K57" s="82">
        <v>4131.9799999999996</v>
      </c>
      <c r="L57" s="82">
        <v>826.39</v>
      </c>
      <c r="M57" s="82">
        <v>4958.37</v>
      </c>
      <c r="N57" s="82" t="s">
        <v>202</v>
      </c>
      <c r="O57" s="82" t="s">
        <v>343</v>
      </c>
      <c r="P57" s="82" t="s">
        <v>338</v>
      </c>
    </row>
    <row r="58" spans="1:16">
      <c r="A58" s="82" t="s">
        <v>432</v>
      </c>
      <c r="B58" s="82" t="s">
        <v>200</v>
      </c>
      <c r="C58" s="82" t="s">
        <v>430</v>
      </c>
      <c r="D58" s="82" t="s">
        <v>351</v>
      </c>
      <c r="E58" s="82" t="s">
        <v>342</v>
      </c>
      <c r="F58" s="82" t="s">
        <v>198</v>
      </c>
      <c r="G58" s="82" t="s">
        <v>278</v>
      </c>
      <c r="H58" s="82" t="s">
        <v>278</v>
      </c>
      <c r="I58" s="82" t="s">
        <v>278</v>
      </c>
      <c r="J58" s="82" t="s">
        <v>200</v>
      </c>
      <c r="K58" s="82">
        <v>13027.6</v>
      </c>
      <c r="L58" s="82">
        <v>2605.52</v>
      </c>
      <c r="M58" s="82">
        <v>15633.12</v>
      </c>
      <c r="N58" s="82" t="s">
        <v>202</v>
      </c>
      <c r="O58" s="82" t="s">
        <v>343</v>
      </c>
      <c r="P58" s="82" t="s">
        <v>338</v>
      </c>
    </row>
    <row r="59" spans="1:16">
      <c r="A59" s="82" t="s">
        <v>433</v>
      </c>
      <c r="B59" s="82" t="s">
        <v>200</v>
      </c>
      <c r="C59" s="82" t="s">
        <v>434</v>
      </c>
      <c r="D59" s="82" t="s">
        <v>345</v>
      </c>
      <c r="E59" s="82" t="s">
        <v>342</v>
      </c>
      <c r="F59" s="82" t="s">
        <v>198</v>
      </c>
      <c r="G59" s="82" t="s">
        <v>257</v>
      </c>
      <c r="H59" s="82" t="s">
        <v>257</v>
      </c>
      <c r="I59" s="82" t="s">
        <v>257</v>
      </c>
      <c r="J59" s="82" t="s">
        <v>200</v>
      </c>
      <c r="K59" s="82">
        <v>11962.52</v>
      </c>
      <c r="L59" s="82">
        <v>2392.5</v>
      </c>
      <c r="M59" s="82">
        <v>14355.02</v>
      </c>
      <c r="N59" s="82" t="s">
        <v>202</v>
      </c>
      <c r="O59" s="82" t="s">
        <v>343</v>
      </c>
      <c r="P59" s="82" t="s">
        <v>338</v>
      </c>
    </row>
    <row r="60" spans="1:16">
      <c r="A60" s="82" t="s">
        <v>435</v>
      </c>
      <c r="B60" s="82" t="s">
        <v>200</v>
      </c>
      <c r="C60" s="82" t="s">
        <v>436</v>
      </c>
      <c r="D60" s="82" t="s">
        <v>341</v>
      </c>
      <c r="E60" s="82" t="s">
        <v>342</v>
      </c>
      <c r="F60" s="82" t="s">
        <v>198</v>
      </c>
      <c r="G60" s="82" t="s">
        <v>326</v>
      </c>
      <c r="H60" s="82" t="s">
        <v>326</v>
      </c>
      <c r="I60" s="82" t="s">
        <v>326</v>
      </c>
      <c r="J60" s="82" t="s">
        <v>200</v>
      </c>
      <c r="K60" s="82">
        <v>420.31</v>
      </c>
      <c r="L60" s="82">
        <v>84.06</v>
      </c>
      <c r="M60" s="82">
        <v>504.37</v>
      </c>
      <c r="N60" s="82" t="s">
        <v>202</v>
      </c>
      <c r="O60" s="82" t="s">
        <v>343</v>
      </c>
      <c r="P60" s="82" t="s">
        <v>338</v>
      </c>
    </row>
    <row r="61" spans="1:16">
      <c r="A61" s="82" t="s">
        <v>437</v>
      </c>
      <c r="B61" s="82" t="s">
        <v>200</v>
      </c>
      <c r="C61" s="82" t="s">
        <v>438</v>
      </c>
      <c r="D61" s="82" t="s">
        <v>348</v>
      </c>
      <c r="E61" s="82" t="s">
        <v>342</v>
      </c>
      <c r="F61" s="82" t="s">
        <v>198</v>
      </c>
      <c r="G61" s="82" t="s">
        <v>233</v>
      </c>
      <c r="H61" s="82" t="s">
        <v>233</v>
      </c>
      <c r="I61" s="82" t="s">
        <v>439</v>
      </c>
      <c r="J61" s="82" t="s">
        <v>200</v>
      </c>
      <c r="K61" s="82">
        <v>417.62</v>
      </c>
      <c r="L61" s="82">
        <v>83.52</v>
      </c>
      <c r="M61" s="82">
        <v>501.14</v>
      </c>
      <c r="N61" s="82" t="s">
        <v>202</v>
      </c>
      <c r="O61" s="82" t="s">
        <v>343</v>
      </c>
      <c r="P61" s="82" t="s">
        <v>338</v>
      </c>
    </row>
    <row r="62" spans="1:16">
      <c r="A62" s="82" t="s">
        <v>440</v>
      </c>
      <c r="B62" s="82" t="s">
        <v>200</v>
      </c>
      <c r="C62" s="82" t="s">
        <v>438</v>
      </c>
      <c r="D62" s="82" t="s">
        <v>341</v>
      </c>
      <c r="E62" s="82" t="s">
        <v>342</v>
      </c>
      <c r="F62" s="82" t="s">
        <v>198</v>
      </c>
      <c r="G62" s="82" t="s">
        <v>233</v>
      </c>
      <c r="H62" s="82" t="s">
        <v>233</v>
      </c>
      <c r="I62" s="82" t="s">
        <v>439</v>
      </c>
      <c r="J62" s="82" t="s">
        <v>200</v>
      </c>
      <c r="K62" s="82">
        <v>245.08</v>
      </c>
      <c r="L62" s="82">
        <v>49.01</v>
      </c>
      <c r="M62" s="82">
        <v>294.08999999999997</v>
      </c>
      <c r="N62" s="82" t="s">
        <v>202</v>
      </c>
      <c r="O62" s="82" t="s">
        <v>343</v>
      </c>
      <c r="P62" s="82" t="s">
        <v>338</v>
      </c>
    </row>
    <row r="63" spans="1:16">
      <c r="A63" s="82" t="s">
        <v>441</v>
      </c>
      <c r="B63" s="82" t="s">
        <v>200</v>
      </c>
      <c r="C63" s="82" t="s">
        <v>438</v>
      </c>
      <c r="D63" s="82" t="s">
        <v>348</v>
      </c>
      <c r="E63" s="82" t="s">
        <v>342</v>
      </c>
      <c r="F63" s="82" t="s">
        <v>198</v>
      </c>
      <c r="G63" s="82" t="s">
        <v>233</v>
      </c>
      <c r="H63" s="82" t="s">
        <v>233</v>
      </c>
      <c r="I63" s="82" t="s">
        <v>439</v>
      </c>
      <c r="J63" s="82" t="s">
        <v>200</v>
      </c>
      <c r="K63" s="82">
        <v>410.09</v>
      </c>
      <c r="L63" s="82">
        <v>82.02</v>
      </c>
      <c r="M63" s="82">
        <v>492.11</v>
      </c>
      <c r="N63" s="82" t="s">
        <v>202</v>
      </c>
      <c r="O63" s="82" t="s">
        <v>343</v>
      </c>
      <c r="P63" s="82" t="s">
        <v>338</v>
      </c>
    </row>
    <row r="64" spans="1:16">
      <c r="A64" s="82" t="s">
        <v>442</v>
      </c>
      <c r="B64" s="82" t="s">
        <v>200</v>
      </c>
      <c r="C64" s="82" t="s">
        <v>438</v>
      </c>
      <c r="D64" s="82" t="s">
        <v>348</v>
      </c>
      <c r="E64" s="82" t="s">
        <v>342</v>
      </c>
      <c r="F64" s="82" t="s">
        <v>198</v>
      </c>
      <c r="G64" s="82" t="s">
        <v>233</v>
      </c>
      <c r="H64" s="82" t="s">
        <v>233</v>
      </c>
      <c r="I64" s="82" t="s">
        <v>439</v>
      </c>
      <c r="J64" s="82" t="s">
        <v>200</v>
      </c>
      <c r="K64" s="82">
        <v>412.76</v>
      </c>
      <c r="L64" s="82">
        <v>82.55</v>
      </c>
      <c r="M64" s="82">
        <v>495.31</v>
      </c>
      <c r="N64" s="82" t="s">
        <v>202</v>
      </c>
      <c r="O64" s="82" t="s">
        <v>343</v>
      </c>
      <c r="P64" s="82" t="s">
        <v>338</v>
      </c>
    </row>
    <row r="65" spans="1:16">
      <c r="A65" s="82" t="s">
        <v>443</v>
      </c>
      <c r="B65" s="82" t="s">
        <v>200</v>
      </c>
      <c r="C65" s="82" t="s">
        <v>444</v>
      </c>
      <c r="D65" s="82" t="s">
        <v>347</v>
      </c>
      <c r="E65" s="82" t="s">
        <v>342</v>
      </c>
      <c r="F65" s="82" t="s">
        <v>198</v>
      </c>
      <c r="G65" s="82" t="s">
        <v>310</v>
      </c>
      <c r="H65" s="82" t="s">
        <v>310</v>
      </c>
      <c r="I65" s="82" t="s">
        <v>439</v>
      </c>
      <c r="J65" s="82" t="s">
        <v>200</v>
      </c>
      <c r="K65" s="82">
        <v>4463.72</v>
      </c>
      <c r="L65" s="82">
        <v>892.74</v>
      </c>
      <c r="M65" s="82">
        <v>5356.46</v>
      </c>
      <c r="N65" s="82" t="s">
        <v>202</v>
      </c>
      <c r="O65" s="82" t="s">
        <v>343</v>
      </c>
      <c r="P65" s="82" t="s">
        <v>338</v>
      </c>
    </row>
    <row r="66" spans="1:16">
      <c r="A66" s="82" t="s">
        <v>445</v>
      </c>
      <c r="B66" s="82" t="s">
        <v>200</v>
      </c>
      <c r="C66" s="82" t="s">
        <v>446</v>
      </c>
      <c r="D66" s="82" t="s">
        <v>345</v>
      </c>
      <c r="E66" s="82" t="s">
        <v>342</v>
      </c>
      <c r="F66" s="82" t="s">
        <v>198</v>
      </c>
      <c r="G66" s="82" t="s">
        <v>260</v>
      </c>
      <c r="H66" s="82" t="s">
        <v>260</v>
      </c>
      <c r="I66" s="82" t="s">
        <v>439</v>
      </c>
      <c r="J66" s="82" t="s">
        <v>200</v>
      </c>
      <c r="K66" s="82">
        <v>13027.58</v>
      </c>
      <c r="L66" s="82">
        <v>2605.5100000000002</v>
      </c>
      <c r="M66" s="82">
        <v>15633.09</v>
      </c>
      <c r="N66" s="82" t="s">
        <v>202</v>
      </c>
      <c r="O66" s="82" t="s">
        <v>343</v>
      </c>
      <c r="P66" s="82" t="s">
        <v>338</v>
      </c>
    </row>
    <row r="67" spans="1:16">
      <c r="A67" s="82" t="s">
        <v>447</v>
      </c>
      <c r="B67" s="82" t="s">
        <v>200</v>
      </c>
      <c r="C67" s="82" t="s">
        <v>448</v>
      </c>
      <c r="D67" s="82" t="s">
        <v>351</v>
      </c>
      <c r="E67" s="82" t="s">
        <v>342</v>
      </c>
      <c r="F67" s="82" t="s">
        <v>198</v>
      </c>
      <c r="G67" s="82" t="s">
        <v>282</v>
      </c>
      <c r="H67" s="82" t="s">
        <v>282</v>
      </c>
      <c r="I67" s="82" t="s">
        <v>439</v>
      </c>
      <c r="J67" s="82" t="s">
        <v>200</v>
      </c>
      <c r="K67" s="82">
        <v>15375.25</v>
      </c>
      <c r="L67" s="82">
        <v>3075.05</v>
      </c>
      <c r="M67" s="82">
        <v>18450.3</v>
      </c>
      <c r="N67" s="82" t="s">
        <v>202</v>
      </c>
      <c r="O67" s="82" t="s">
        <v>343</v>
      </c>
      <c r="P67" s="82" t="s">
        <v>338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A630FC-90F0-4329-A688-8A73E029970E}">
  <sheetPr>
    <pageSetUpPr fitToPage="1"/>
  </sheetPr>
  <dimension ref="A1:K54"/>
  <sheetViews>
    <sheetView workbookViewId="0">
      <selection activeCell="K4" sqref="K4:K45"/>
    </sheetView>
  </sheetViews>
  <sheetFormatPr baseColWidth="10" defaultRowHeight="15"/>
  <cols>
    <col min="2" max="2" width="79.140625" customWidth="1"/>
    <col min="3" max="4" width="20.7109375" customWidth="1"/>
    <col min="5" max="5" width="10" style="76" bestFit="1" customWidth="1"/>
    <col min="6" max="11" width="20.7109375" customWidth="1"/>
  </cols>
  <sheetData>
    <row r="1" spans="1:11" ht="15" customHeight="1">
      <c r="A1" s="333" t="s">
        <v>113</v>
      </c>
      <c r="B1" s="333"/>
      <c r="C1" s="334">
        <v>2023</v>
      </c>
      <c r="D1" s="334">
        <v>2024</v>
      </c>
      <c r="E1" s="326">
        <v>2025</v>
      </c>
      <c r="F1" s="327"/>
      <c r="G1" s="327"/>
      <c r="H1" s="327"/>
      <c r="I1" s="327"/>
      <c r="J1" s="327"/>
      <c r="K1" s="328"/>
    </row>
    <row r="2" spans="1:11" ht="15" customHeight="1">
      <c r="A2" s="333"/>
      <c r="B2" s="333"/>
      <c r="C2" s="334"/>
      <c r="D2" s="334"/>
      <c r="E2" s="329"/>
      <c r="F2" s="330"/>
      <c r="G2" s="330"/>
      <c r="H2" s="330"/>
      <c r="I2" s="330"/>
      <c r="J2" s="330"/>
      <c r="K2" s="331"/>
    </row>
    <row r="3" spans="1:11" ht="37.5">
      <c r="A3" s="10" t="s">
        <v>36</v>
      </c>
      <c r="B3" s="11" t="s">
        <v>91</v>
      </c>
      <c r="C3" s="8" t="s">
        <v>95</v>
      </c>
      <c r="D3" s="7" t="s">
        <v>55</v>
      </c>
      <c r="E3" s="73" t="s">
        <v>179</v>
      </c>
      <c r="F3" s="7" t="s">
        <v>125</v>
      </c>
      <c r="G3" s="7" t="s">
        <v>178</v>
      </c>
      <c r="H3" s="32" t="s">
        <v>131</v>
      </c>
      <c r="I3" s="32" t="s">
        <v>450</v>
      </c>
      <c r="J3" s="7" t="s">
        <v>94</v>
      </c>
      <c r="K3" s="7" t="s">
        <v>56</v>
      </c>
    </row>
    <row r="4" spans="1:11" ht="18.75">
      <c r="A4" s="29" t="s">
        <v>1</v>
      </c>
      <c r="B4" s="17" t="s">
        <v>2</v>
      </c>
      <c r="C4" s="18">
        <f>SUM(C5:C16)</f>
        <v>106426631.11</v>
      </c>
      <c r="D4" s="18">
        <f>SUM(D5:D16)</f>
        <v>108648777.77999999</v>
      </c>
      <c r="E4" s="74">
        <v>3.4000000000000002E-2</v>
      </c>
      <c r="F4" s="33">
        <f>SUM(F5:F16)</f>
        <v>110496044.22452</v>
      </c>
      <c r="G4" s="72">
        <f>SUM(G5:G16)</f>
        <v>-4469608.3692929745</v>
      </c>
      <c r="H4" s="33">
        <f>SUM(H5:H16)</f>
        <v>2304443.0260000001</v>
      </c>
      <c r="I4" s="33">
        <f t="shared" ref="I4:J4" si="0">SUM(I5:I16)</f>
        <v>108330878.88122702</v>
      </c>
      <c r="J4" s="33">
        <f t="shared" si="0"/>
        <v>0</v>
      </c>
      <c r="K4" s="33">
        <f>SUM(K5:K16)</f>
        <v>108330878.88122702</v>
      </c>
    </row>
    <row r="5" spans="1:11">
      <c r="A5" s="15">
        <v>73111</v>
      </c>
      <c r="B5" s="12" t="s">
        <v>3</v>
      </c>
      <c r="C5" s="16">
        <v>65253995.710000001</v>
      </c>
      <c r="D5" s="16">
        <v>67899540.140000001</v>
      </c>
      <c r="E5" s="75">
        <v>3.4000000000000002E-2</v>
      </c>
      <c r="F5" s="6">
        <f>+D5+(D5*E5)-1846792</f>
        <v>68361332.504759997</v>
      </c>
      <c r="G5" s="71"/>
      <c r="H5" s="113">
        <f>+'Mesures nouvelles'!L60</f>
        <v>2304443.0260000001</v>
      </c>
      <c r="I5" s="6">
        <f>SUM(F5:H5)</f>
        <v>70665775.53075999</v>
      </c>
      <c r="J5" s="6"/>
      <c r="K5" s="6">
        <f>+I5+J5</f>
        <v>70665775.53075999</v>
      </c>
    </row>
    <row r="6" spans="1:11">
      <c r="A6" s="15">
        <v>73112</v>
      </c>
      <c r="B6" s="12" t="s">
        <v>4</v>
      </c>
      <c r="C6" s="16">
        <v>7356509.9000000004</v>
      </c>
      <c r="D6" s="16">
        <v>8231464.8799999999</v>
      </c>
      <c r="E6" s="75">
        <v>3.4000000000000002E-2</v>
      </c>
      <c r="F6" s="6">
        <f t="shared" ref="F6:F16" si="1">+D6+(D6*E6)</f>
        <v>8511334.6859200001</v>
      </c>
      <c r="G6" s="71"/>
      <c r="H6" s="6"/>
      <c r="I6" s="6">
        <f t="shared" ref="I6:I44" si="2">SUM(F6:H6)</f>
        <v>8511334.6859200001</v>
      </c>
      <c r="J6" s="6"/>
      <c r="K6" s="6">
        <f t="shared" ref="K6:K44" si="3">+I6+J6</f>
        <v>8511334.6859200001</v>
      </c>
    </row>
    <row r="7" spans="1:11">
      <c r="A7" s="15">
        <v>73113</v>
      </c>
      <c r="B7" s="12" t="s">
        <v>5</v>
      </c>
      <c r="C7" s="16">
        <v>1031956.09</v>
      </c>
      <c r="D7" s="16">
        <v>778621.40999999992</v>
      </c>
      <c r="E7" s="75">
        <v>3.4000000000000002E-2</v>
      </c>
      <c r="F7" s="6">
        <f t="shared" si="1"/>
        <v>805094.53793999995</v>
      </c>
      <c r="G7" s="71"/>
      <c r="H7" s="6"/>
      <c r="I7" s="6">
        <f t="shared" si="2"/>
        <v>805094.53793999995</v>
      </c>
      <c r="J7" s="6"/>
      <c r="K7" s="6">
        <f t="shared" si="3"/>
        <v>805094.53793999995</v>
      </c>
    </row>
    <row r="8" spans="1:11">
      <c r="A8" s="15">
        <v>73114</v>
      </c>
      <c r="B8" s="12" t="s">
        <v>6</v>
      </c>
      <c r="C8" s="16">
        <v>6733580</v>
      </c>
      <c r="D8" s="16">
        <v>7159711</v>
      </c>
      <c r="E8" s="75">
        <v>3.4000000000000002E-2</v>
      </c>
      <c r="F8" s="6">
        <f t="shared" si="1"/>
        <v>7403141.1739999996</v>
      </c>
      <c r="G8" s="71"/>
      <c r="H8" s="6"/>
      <c r="I8" s="6">
        <f t="shared" si="2"/>
        <v>7403141.1739999996</v>
      </c>
      <c r="J8" s="6"/>
      <c r="K8" s="6">
        <f t="shared" si="3"/>
        <v>7403141.1739999996</v>
      </c>
    </row>
    <row r="9" spans="1:11">
      <c r="A9" s="15">
        <v>73115</v>
      </c>
      <c r="B9" s="12" t="s">
        <v>7</v>
      </c>
      <c r="C9" s="16">
        <v>4140786</v>
      </c>
      <c r="D9" s="16">
        <v>6568295.5</v>
      </c>
      <c r="E9" s="75">
        <v>3.4000000000000002E-2</v>
      </c>
      <c r="F9" s="6">
        <f t="shared" si="1"/>
        <v>6791617.5470000003</v>
      </c>
      <c r="G9" s="71"/>
      <c r="H9" s="6"/>
      <c r="I9" s="6">
        <f t="shared" si="2"/>
        <v>6791617.5470000003</v>
      </c>
      <c r="J9" s="6"/>
      <c r="K9" s="6">
        <f t="shared" si="3"/>
        <v>6791617.5470000003</v>
      </c>
    </row>
    <row r="10" spans="1:11">
      <c r="A10" s="15">
        <v>73116</v>
      </c>
      <c r="B10" s="12" t="s">
        <v>8</v>
      </c>
      <c r="C10" s="16">
        <v>0</v>
      </c>
      <c r="D10" s="16">
        <v>0</v>
      </c>
      <c r="E10" s="75">
        <v>3.4000000000000002E-2</v>
      </c>
      <c r="F10" s="6">
        <f t="shared" si="1"/>
        <v>0</v>
      </c>
      <c r="G10" s="71"/>
      <c r="H10" s="6"/>
      <c r="I10" s="6">
        <f t="shared" si="2"/>
        <v>0</v>
      </c>
      <c r="J10" s="6"/>
      <c r="K10" s="6">
        <f t="shared" si="3"/>
        <v>0</v>
      </c>
    </row>
    <row r="11" spans="1:11">
      <c r="A11" s="15">
        <v>73117</v>
      </c>
      <c r="B11" s="12" t="s">
        <v>9</v>
      </c>
      <c r="C11" s="16">
        <v>0</v>
      </c>
      <c r="D11" s="16">
        <v>0</v>
      </c>
      <c r="E11" s="75">
        <v>3.4000000000000002E-2</v>
      </c>
      <c r="F11" s="6">
        <f t="shared" si="1"/>
        <v>0</v>
      </c>
      <c r="G11" s="71"/>
      <c r="H11" s="6"/>
      <c r="I11" s="6">
        <f t="shared" si="2"/>
        <v>0</v>
      </c>
      <c r="J11" s="6"/>
      <c r="K11" s="6">
        <f t="shared" si="3"/>
        <v>0</v>
      </c>
    </row>
    <row r="12" spans="1:11">
      <c r="A12" s="15">
        <v>73118</v>
      </c>
      <c r="B12" s="12" t="s">
        <v>10</v>
      </c>
      <c r="C12" s="16">
        <v>7989890</v>
      </c>
      <c r="D12" s="16">
        <v>3127695.45</v>
      </c>
      <c r="E12" s="75">
        <v>3.4000000000000002E-2</v>
      </c>
      <c r="F12" s="6">
        <f t="shared" si="1"/>
        <v>3234037.0953000002</v>
      </c>
      <c r="G12" s="71"/>
      <c r="H12" s="6"/>
      <c r="I12" s="6">
        <f t="shared" si="2"/>
        <v>3234037.0953000002</v>
      </c>
      <c r="J12" s="6"/>
      <c r="K12" s="6">
        <f t="shared" si="3"/>
        <v>3234037.0953000002</v>
      </c>
    </row>
    <row r="13" spans="1:11">
      <c r="A13" s="15">
        <v>7312</v>
      </c>
      <c r="B13" s="12" t="s">
        <v>11</v>
      </c>
      <c r="C13" s="16">
        <v>10353784.42</v>
      </c>
      <c r="D13" s="16">
        <v>11094365.33</v>
      </c>
      <c r="E13" s="75">
        <v>3.4000000000000002E-2</v>
      </c>
      <c r="F13" s="6">
        <f t="shared" si="1"/>
        <v>11471573.751220001</v>
      </c>
      <c r="G13" s="71">
        <f>-5363530.04315157*10/12</f>
        <v>-4469608.3692929745</v>
      </c>
      <c r="H13" s="6"/>
      <c r="I13" s="6">
        <f t="shared" si="2"/>
        <v>7001965.3819270264</v>
      </c>
      <c r="J13" s="6"/>
      <c r="K13" s="6">
        <f t="shared" si="3"/>
        <v>7001965.3819270264</v>
      </c>
    </row>
    <row r="14" spans="1:11">
      <c r="A14" s="15">
        <v>7313</v>
      </c>
      <c r="B14" s="12" t="s">
        <v>12</v>
      </c>
      <c r="C14" s="16">
        <v>4850.13</v>
      </c>
      <c r="D14" s="16">
        <v>4388.4599999999982</v>
      </c>
      <c r="E14" s="75">
        <v>3.4000000000000002E-2</v>
      </c>
      <c r="F14" s="6">
        <f t="shared" si="1"/>
        <v>4537.6676399999978</v>
      </c>
      <c r="G14" s="71"/>
      <c r="H14" s="6"/>
      <c r="I14" s="6">
        <f t="shared" si="2"/>
        <v>4537.6676399999978</v>
      </c>
      <c r="J14" s="6"/>
      <c r="K14" s="6">
        <f t="shared" si="3"/>
        <v>4537.6676399999978</v>
      </c>
    </row>
    <row r="15" spans="1:11">
      <c r="A15" s="15">
        <v>7471</v>
      </c>
      <c r="B15" s="12" t="s">
        <v>13</v>
      </c>
      <c r="C15" s="16">
        <v>3560192.17</v>
      </c>
      <c r="D15" s="16">
        <v>3779510.56</v>
      </c>
      <c r="E15" s="75">
        <v>3.4000000000000002E-2</v>
      </c>
      <c r="F15" s="6">
        <f t="shared" si="1"/>
        <v>3908013.9190400001</v>
      </c>
      <c r="G15" s="71"/>
      <c r="H15" s="67"/>
      <c r="I15" s="6">
        <f t="shared" si="2"/>
        <v>3908013.9190400001</v>
      </c>
      <c r="J15" s="6"/>
      <c r="K15" s="6">
        <f t="shared" si="3"/>
        <v>3908013.9190400001</v>
      </c>
    </row>
    <row r="16" spans="1:11">
      <c r="A16" s="15">
        <v>7722</v>
      </c>
      <c r="B16" s="12" t="s">
        <v>14</v>
      </c>
      <c r="C16" s="16">
        <v>1086.69</v>
      </c>
      <c r="D16" s="16">
        <v>5185.05</v>
      </c>
      <c r="E16" s="75">
        <v>3.4000000000000002E-2</v>
      </c>
      <c r="F16" s="6">
        <f t="shared" si="1"/>
        <v>5361.3416999999999</v>
      </c>
      <c r="G16" s="71"/>
      <c r="H16" s="6"/>
      <c r="I16" s="6">
        <f t="shared" si="2"/>
        <v>5361.3416999999999</v>
      </c>
      <c r="J16" s="6"/>
      <c r="K16" s="6">
        <f t="shared" si="3"/>
        <v>5361.3416999999999</v>
      </c>
    </row>
    <row r="17" spans="1:11" ht="18.75">
      <c r="A17" s="29" t="s">
        <v>15</v>
      </c>
      <c r="B17" s="17" t="s">
        <v>16</v>
      </c>
      <c r="C17" s="18">
        <f>SUM(C18:C27)</f>
        <v>9227936.620000001</v>
      </c>
      <c r="D17" s="18">
        <f>SUM(D18:D27)</f>
        <v>8863460.1799999997</v>
      </c>
      <c r="E17" s="74">
        <v>1.0500000000000001E-2</v>
      </c>
      <c r="F17" s="33">
        <f>SUM(F18:F27)</f>
        <v>8956526.5118899997</v>
      </c>
      <c r="G17" s="33">
        <f>SUM(G18:G27)</f>
        <v>0</v>
      </c>
      <c r="H17" s="33">
        <f t="shared" ref="H17:I17" si="4">SUM(H18:H27)</f>
        <v>0</v>
      </c>
      <c r="I17" s="33">
        <f t="shared" si="4"/>
        <v>8956526.5118899997</v>
      </c>
      <c r="J17" s="33">
        <f t="shared" ref="J17:K17" si="5">SUM(J18:J27)</f>
        <v>0</v>
      </c>
      <c r="K17" s="33">
        <f t="shared" si="5"/>
        <v>8956526.5118899997</v>
      </c>
    </row>
    <row r="18" spans="1:11">
      <c r="A18" s="15">
        <v>7321</v>
      </c>
      <c r="B18" s="12" t="s">
        <v>97</v>
      </c>
      <c r="C18" s="5">
        <v>4395406.24</v>
      </c>
      <c r="D18" s="6">
        <v>3907975.35</v>
      </c>
      <c r="E18" s="75">
        <v>1.0500000000000001E-2</v>
      </c>
      <c r="F18" s="6">
        <f>+D18+(D18*E18)</f>
        <v>3949009.0911750002</v>
      </c>
      <c r="G18" s="71"/>
      <c r="H18" s="5"/>
      <c r="I18" s="6">
        <f t="shared" si="2"/>
        <v>3949009.0911750002</v>
      </c>
      <c r="J18" s="5"/>
      <c r="K18" s="6">
        <f t="shared" si="3"/>
        <v>3949009.0911750002</v>
      </c>
    </row>
    <row r="19" spans="1:11">
      <c r="A19" s="15">
        <v>7322</v>
      </c>
      <c r="B19" s="12" t="s">
        <v>17</v>
      </c>
      <c r="C19" s="5">
        <v>217368.99</v>
      </c>
      <c r="D19" s="6">
        <v>216892.64</v>
      </c>
      <c r="E19" s="75">
        <v>1.0500000000000001E-2</v>
      </c>
      <c r="F19" s="6">
        <f t="shared" ref="F19:F27" si="6">+D19+(D19*E19)</f>
        <v>219170.01272000003</v>
      </c>
      <c r="G19" s="71"/>
      <c r="H19" s="5"/>
      <c r="I19" s="6">
        <f t="shared" si="2"/>
        <v>219170.01272000003</v>
      </c>
      <c r="J19" s="5"/>
      <c r="K19" s="6">
        <f t="shared" si="3"/>
        <v>219170.01272000003</v>
      </c>
    </row>
    <row r="20" spans="1:11">
      <c r="A20" s="15">
        <v>7323</v>
      </c>
      <c r="B20" s="12" t="s">
        <v>98</v>
      </c>
      <c r="C20" s="5">
        <v>0</v>
      </c>
      <c r="D20" s="6">
        <v>0</v>
      </c>
      <c r="E20" s="75">
        <v>1.0500000000000001E-2</v>
      </c>
      <c r="F20" s="6">
        <f t="shared" si="6"/>
        <v>0</v>
      </c>
      <c r="G20" s="71"/>
      <c r="H20" s="5"/>
      <c r="I20" s="6">
        <f t="shared" si="2"/>
        <v>0</v>
      </c>
      <c r="J20" s="5"/>
      <c r="K20" s="6">
        <f t="shared" si="3"/>
        <v>0</v>
      </c>
    </row>
    <row r="21" spans="1:11">
      <c r="A21" s="15">
        <v>7324</v>
      </c>
      <c r="B21" s="12" t="s">
        <v>18</v>
      </c>
      <c r="C21" s="5">
        <v>1783157.98</v>
      </c>
      <c r="D21" s="6">
        <v>1841083.63</v>
      </c>
      <c r="E21" s="75">
        <v>1.0500000000000001E-2</v>
      </c>
      <c r="F21" s="6">
        <f t="shared" si="6"/>
        <v>1860415.0081149999</v>
      </c>
      <c r="G21" s="71"/>
      <c r="H21" s="5"/>
      <c r="I21" s="6">
        <f t="shared" si="2"/>
        <v>1860415.0081149999</v>
      </c>
      <c r="J21" s="5"/>
      <c r="K21" s="6">
        <f t="shared" si="3"/>
        <v>1860415.0081149999</v>
      </c>
    </row>
    <row r="22" spans="1:11">
      <c r="A22" s="15">
        <v>73271</v>
      </c>
      <c r="B22" s="12" t="s">
        <v>19</v>
      </c>
      <c r="C22" s="5">
        <v>1751400</v>
      </c>
      <c r="D22" s="6">
        <v>1860520</v>
      </c>
      <c r="E22" s="75">
        <v>1.0500000000000001E-2</v>
      </c>
      <c r="F22" s="6">
        <f t="shared" si="6"/>
        <v>1880055.46</v>
      </c>
      <c r="G22" s="71"/>
      <c r="H22" s="5"/>
      <c r="I22" s="6">
        <f t="shared" si="2"/>
        <v>1880055.46</v>
      </c>
      <c r="J22" s="5"/>
      <c r="K22" s="6">
        <f t="shared" si="3"/>
        <v>1880055.46</v>
      </c>
    </row>
    <row r="23" spans="1:11">
      <c r="A23" s="15">
        <v>73272</v>
      </c>
      <c r="B23" s="12" t="s">
        <v>20</v>
      </c>
      <c r="C23" s="5">
        <v>341800</v>
      </c>
      <c r="D23" s="6">
        <v>349200</v>
      </c>
      <c r="E23" s="75">
        <v>1.0500000000000001E-2</v>
      </c>
      <c r="F23" s="6">
        <f t="shared" si="6"/>
        <v>352866.6</v>
      </c>
      <c r="G23" s="71"/>
      <c r="H23" s="5"/>
      <c r="I23" s="6">
        <f t="shared" si="2"/>
        <v>352866.6</v>
      </c>
      <c r="J23" s="5"/>
      <c r="K23" s="6">
        <f t="shared" si="3"/>
        <v>352866.6</v>
      </c>
    </row>
    <row r="24" spans="1:11">
      <c r="A24" s="15">
        <v>73273</v>
      </c>
      <c r="B24" s="12" t="s">
        <v>21</v>
      </c>
      <c r="C24" s="5">
        <v>0</v>
      </c>
      <c r="D24" s="6">
        <v>0</v>
      </c>
      <c r="E24" s="75">
        <v>1.0500000000000001E-2</v>
      </c>
      <c r="F24" s="6">
        <f t="shared" si="6"/>
        <v>0</v>
      </c>
      <c r="G24" s="71"/>
      <c r="H24" s="5"/>
      <c r="I24" s="6">
        <f t="shared" si="2"/>
        <v>0</v>
      </c>
      <c r="J24" s="5"/>
      <c r="K24" s="6">
        <f t="shared" si="3"/>
        <v>0</v>
      </c>
    </row>
    <row r="25" spans="1:11">
      <c r="A25" s="15">
        <v>733</v>
      </c>
      <c r="B25" s="12" t="s">
        <v>99</v>
      </c>
      <c r="C25" s="5">
        <v>552353.21</v>
      </c>
      <c r="D25" s="6">
        <v>526899.72</v>
      </c>
      <c r="E25" s="75">
        <v>1.0500000000000001E-2</v>
      </c>
      <c r="F25" s="6">
        <f t="shared" si="6"/>
        <v>532432.16706000001</v>
      </c>
      <c r="G25" s="71"/>
      <c r="H25" s="5"/>
      <c r="I25" s="6">
        <f t="shared" si="2"/>
        <v>532432.16706000001</v>
      </c>
      <c r="J25" s="5"/>
      <c r="K25" s="6">
        <f t="shared" si="3"/>
        <v>532432.16706000001</v>
      </c>
    </row>
    <row r="26" spans="1:11">
      <c r="A26" s="15">
        <v>734</v>
      </c>
      <c r="B26" s="12" t="s">
        <v>23</v>
      </c>
      <c r="C26" s="5">
        <v>186450.2</v>
      </c>
      <c r="D26" s="6">
        <v>160888.84</v>
      </c>
      <c r="E26" s="75">
        <v>1.0500000000000001E-2</v>
      </c>
      <c r="F26" s="6">
        <f t="shared" si="6"/>
        <v>162578.17282000001</v>
      </c>
      <c r="G26" s="71"/>
      <c r="H26" s="5"/>
      <c r="I26" s="6">
        <f t="shared" si="2"/>
        <v>162578.17282000001</v>
      </c>
      <c r="J26" s="5"/>
      <c r="K26" s="6">
        <f t="shared" si="3"/>
        <v>162578.17282000001</v>
      </c>
    </row>
    <row r="27" spans="1:11">
      <c r="A27" s="15">
        <v>735</v>
      </c>
      <c r="B27" s="12" t="s">
        <v>22</v>
      </c>
      <c r="C27" s="5">
        <v>0</v>
      </c>
      <c r="D27" s="6">
        <v>0</v>
      </c>
      <c r="E27" s="75">
        <v>1.0500000000000001E-2</v>
      </c>
      <c r="F27" s="6">
        <f t="shared" si="6"/>
        <v>0</v>
      </c>
      <c r="G27" s="71"/>
      <c r="H27" s="5"/>
      <c r="I27" s="6">
        <f t="shared" si="2"/>
        <v>0</v>
      </c>
      <c r="J27" s="5"/>
      <c r="K27" s="6">
        <f t="shared" si="3"/>
        <v>0</v>
      </c>
    </row>
    <row r="28" spans="1:11" ht="18.75">
      <c r="A28" s="29" t="s">
        <v>24</v>
      </c>
      <c r="B28" s="17" t="s">
        <v>25</v>
      </c>
      <c r="C28" s="18">
        <f>SUM(C29:C44)</f>
        <v>17039421.879999999</v>
      </c>
      <c r="D28" s="18">
        <f>SUM(D29:D44)</f>
        <v>14767333.24</v>
      </c>
      <c r="E28" s="74">
        <v>1.0699999999999999E-2</v>
      </c>
      <c r="F28" s="33">
        <f>SUM(F29:F44)</f>
        <v>14925343.705667997</v>
      </c>
      <c r="G28" s="33">
        <f>SUM(G29:G44)</f>
        <v>4428543.9244824983</v>
      </c>
      <c r="H28" s="33">
        <f t="shared" ref="H28:I28" si="7">SUM(H29:H44)</f>
        <v>282072.97600000002</v>
      </c>
      <c r="I28" s="33">
        <f t="shared" si="7"/>
        <v>19635960.606150497</v>
      </c>
      <c r="J28" s="33">
        <f t="shared" ref="J28:K28" si="8">SUM(J29:J44)</f>
        <v>0</v>
      </c>
      <c r="K28" s="33">
        <f t="shared" si="8"/>
        <v>19635960.606150497</v>
      </c>
    </row>
    <row r="29" spans="1:11">
      <c r="A29" s="15">
        <v>70</v>
      </c>
      <c r="B29" s="12" t="s">
        <v>100</v>
      </c>
      <c r="C29" s="5">
        <v>2321927.0099999998</v>
      </c>
      <c r="D29" s="6">
        <v>1983923.41</v>
      </c>
      <c r="E29" s="75">
        <v>1.0699999999999999E-2</v>
      </c>
      <c r="F29" s="6">
        <f>+D29+(D29*E29)</f>
        <v>2005151.3904869999</v>
      </c>
      <c r="G29" s="71"/>
      <c r="H29" s="6"/>
      <c r="I29" s="6">
        <f t="shared" si="2"/>
        <v>2005151.3904869999</v>
      </c>
      <c r="J29" s="5"/>
      <c r="K29" s="6">
        <f t="shared" si="3"/>
        <v>2005151.3904869999</v>
      </c>
    </row>
    <row r="30" spans="1:11">
      <c r="A30" s="15">
        <v>7071</v>
      </c>
      <c r="B30" s="12" t="s">
        <v>101</v>
      </c>
      <c r="C30" s="5">
        <v>2457971.2799999998</v>
      </c>
      <c r="D30" s="6">
        <v>2135962.91</v>
      </c>
      <c r="E30" s="75">
        <v>1.0699999999999999E-2</v>
      </c>
      <c r="F30" s="6">
        <f t="shared" ref="F30:F44" si="9">+D30+(D30*E30)</f>
        <v>2158817.7131370003</v>
      </c>
      <c r="G30" s="71"/>
      <c r="H30" s="6"/>
      <c r="I30" s="6">
        <f t="shared" si="2"/>
        <v>2158817.7131370003</v>
      </c>
      <c r="J30" s="5"/>
      <c r="K30" s="6">
        <f t="shared" si="3"/>
        <v>2158817.7131370003</v>
      </c>
    </row>
    <row r="31" spans="1:11">
      <c r="A31" s="15">
        <v>7087</v>
      </c>
      <c r="B31" s="12" t="s">
        <v>102</v>
      </c>
      <c r="C31" s="5">
        <v>4908185.07</v>
      </c>
      <c r="D31" s="6">
        <v>5313000</v>
      </c>
      <c r="E31" s="75">
        <v>1.0699999999999999E-2</v>
      </c>
      <c r="F31" s="6">
        <f t="shared" si="9"/>
        <v>5369849.0999999996</v>
      </c>
      <c r="G31" s="71"/>
      <c r="H31" s="6"/>
      <c r="I31" s="6">
        <f t="shared" si="2"/>
        <v>5369849.0999999996</v>
      </c>
      <c r="J31" s="5"/>
      <c r="K31" s="6">
        <f t="shared" si="3"/>
        <v>5369849.0999999996</v>
      </c>
    </row>
    <row r="32" spans="1:11">
      <c r="A32" s="15">
        <v>71</v>
      </c>
      <c r="B32" s="12" t="s">
        <v>26</v>
      </c>
      <c r="C32" s="5">
        <v>0</v>
      </c>
      <c r="D32" s="6"/>
      <c r="E32" s="75">
        <v>1.0699999999999999E-2</v>
      </c>
      <c r="F32" s="6">
        <f t="shared" si="9"/>
        <v>0</v>
      </c>
      <c r="G32" s="71"/>
      <c r="H32" s="6"/>
      <c r="I32" s="6">
        <f t="shared" si="2"/>
        <v>0</v>
      </c>
      <c r="J32" s="5"/>
      <c r="K32" s="6">
        <f t="shared" si="3"/>
        <v>0</v>
      </c>
    </row>
    <row r="33" spans="1:11">
      <c r="A33" s="15">
        <v>72</v>
      </c>
      <c r="B33" s="12" t="s">
        <v>27</v>
      </c>
      <c r="C33" s="5">
        <v>0</v>
      </c>
      <c r="D33" s="6"/>
      <c r="E33" s="75">
        <v>1.0699999999999999E-2</v>
      </c>
      <c r="F33" s="6">
        <f t="shared" si="9"/>
        <v>0</v>
      </c>
      <c r="G33" s="71"/>
      <c r="H33" s="6"/>
      <c r="I33" s="6">
        <f t="shared" si="2"/>
        <v>0</v>
      </c>
      <c r="J33" s="5"/>
      <c r="K33" s="6">
        <f t="shared" si="3"/>
        <v>0</v>
      </c>
    </row>
    <row r="34" spans="1:11">
      <c r="A34" s="15">
        <v>74</v>
      </c>
      <c r="B34" s="12" t="s">
        <v>103</v>
      </c>
      <c r="C34" s="5">
        <v>475135.76</v>
      </c>
      <c r="D34" s="6">
        <v>725128</v>
      </c>
      <c r="E34" s="75">
        <v>1.0699999999999999E-2</v>
      </c>
      <c r="F34" s="6">
        <f t="shared" si="9"/>
        <v>732886.86959999998</v>
      </c>
      <c r="G34" s="71"/>
      <c r="H34" s="6"/>
      <c r="I34" s="6">
        <f t="shared" si="2"/>
        <v>732886.86959999998</v>
      </c>
      <c r="J34" s="5"/>
      <c r="K34" s="6">
        <f t="shared" si="3"/>
        <v>732886.86959999998</v>
      </c>
    </row>
    <row r="35" spans="1:11">
      <c r="A35" s="15">
        <v>75</v>
      </c>
      <c r="B35" s="12" t="s">
        <v>28</v>
      </c>
      <c r="C35" s="5">
        <v>1524276.69</v>
      </c>
      <c r="D35" s="6">
        <v>1246006.67</v>
      </c>
      <c r="E35" s="75">
        <v>1.0699999999999999E-2</v>
      </c>
      <c r="F35" s="6">
        <f t="shared" si="9"/>
        <v>1259338.9413689999</v>
      </c>
      <c r="G35" s="71">
        <f>-336769.74*0.833333333333333</f>
        <v>-280641.4499999999</v>
      </c>
      <c r="H35" s="6"/>
      <c r="I35" s="6">
        <f t="shared" si="2"/>
        <v>978697.49136899994</v>
      </c>
      <c r="J35" s="5"/>
      <c r="K35" s="6">
        <f t="shared" si="3"/>
        <v>978697.49136899994</v>
      </c>
    </row>
    <row r="36" spans="1:11">
      <c r="A36" s="15">
        <v>76</v>
      </c>
      <c r="B36" s="12" t="s">
        <v>29</v>
      </c>
      <c r="C36" s="5">
        <v>76838.67</v>
      </c>
      <c r="D36" s="6">
        <v>62981.599999999999</v>
      </c>
      <c r="E36" s="75">
        <v>1.0699999999999999E-2</v>
      </c>
      <c r="F36" s="6">
        <f t="shared" si="9"/>
        <v>63655.503120000001</v>
      </c>
      <c r="G36" s="71"/>
      <c r="H36" s="6"/>
      <c r="I36" s="6">
        <f t="shared" si="2"/>
        <v>63655.503120000001</v>
      </c>
      <c r="J36" s="5"/>
      <c r="K36" s="6">
        <f t="shared" si="3"/>
        <v>63655.503120000001</v>
      </c>
    </row>
    <row r="37" spans="1:11">
      <c r="A37" s="15">
        <v>77</v>
      </c>
      <c r="B37" s="12" t="s">
        <v>108</v>
      </c>
      <c r="C37" s="5">
        <v>1101953.55</v>
      </c>
      <c r="D37" s="6">
        <v>1365274.21</v>
      </c>
      <c r="E37" s="75">
        <v>1.0699999999999999E-2</v>
      </c>
      <c r="F37" s="6">
        <f t="shared" si="9"/>
        <v>1379882.644047</v>
      </c>
      <c r="G37" s="71">
        <f>5651022.449379*0.833333333333333</f>
        <v>4709185.3744824985</v>
      </c>
      <c r="H37" s="6"/>
      <c r="I37" s="6">
        <f t="shared" si="2"/>
        <v>6089068.0185294989</v>
      </c>
      <c r="J37" s="5"/>
      <c r="K37" s="6">
        <f t="shared" si="3"/>
        <v>6089068.0185294989</v>
      </c>
    </row>
    <row r="38" spans="1:11">
      <c r="A38" s="15">
        <v>78</v>
      </c>
      <c r="B38" s="12" t="s">
        <v>30</v>
      </c>
      <c r="C38" s="5">
        <v>2076809.08</v>
      </c>
      <c r="D38" s="6">
        <v>1532826</v>
      </c>
      <c r="E38" s="75">
        <v>1.0699999999999999E-2</v>
      </c>
      <c r="F38" s="6">
        <f t="shared" si="9"/>
        <v>1549227.2382</v>
      </c>
      <c r="G38" s="71"/>
      <c r="H38" s="6"/>
      <c r="I38" s="6">
        <f t="shared" si="2"/>
        <v>1549227.2382</v>
      </c>
      <c r="J38" s="5"/>
      <c r="K38" s="6">
        <f t="shared" si="3"/>
        <v>1549227.2382</v>
      </c>
    </row>
    <row r="39" spans="1:11">
      <c r="A39" s="15">
        <v>79</v>
      </c>
      <c r="B39" s="12" t="s">
        <v>33</v>
      </c>
      <c r="C39" s="5">
        <v>0</v>
      </c>
      <c r="D39" s="6">
        <v>0</v>
      </c>
      <c r="E39" s="75">
        <v>1.0699999999999999E-2</v>
      </c>
      <c r="F39" s="6">
        <f t="shared" si="9"/>
        <v>0</v>
      </c>
      <c r="G39" s="71"/>
      <c r="H39" s="6"/>
      <c r="I39" s="6">
        <f t="shared" si="2"/>
        <v>0</v>
      </c>
      <c r="J39" s="5"/>
      <c r="K39" s="6">
        <f t="shared" si="3"/>
        <v>0</v>
      </c>
    </row>
    <row r="40" spans="1:11">
      <c r="A40" s="15">
        <v>603</v>
      </c>
      <c r="B40" s="12" t="s">
        <v>34</v>
      </c>
      <c r="C40" s="5">
        <v>1362368.63</v>
      </c>
      <c r="D40" s="6">
        <v>0</v>
      </c>
      <c r="E40" s="75">
        <v>1.0699999999999999E-2</v>
      </c>
      <c r="F40" s="6">
        <f t="shared" si="9"/>
        <v>0</v>
      </c>
      <c r="G40" s="71"/>
      <c r="H40" s="6"/>
      <c r="I40" s="6">
        <f t="shared" si="2"/>
        <v>0</v>
      </c>
      <c r="J40" s="5"/>
      <c r="K40" s="6">
        <f t="shared" si="3"/>
        <v>0</v>
      </c>
    </row>
    <row r="41" spans="1:11">
      <c r="A41" s="15">
        <v>603</v>
      </c>
      <c r="B41" s="12" t="s">
        <v>104</v>
      </c>
      <c r="C41" s="5">
        <v>349478.1</v>
      </c>
      <c r="D41" s="6">
        <v>0</v>
      </c>
      <c r="E41" s="75">
        <v>1.0699999999999999E-2</v>
      </c>
      <c r="F41" s="6">
        <f t="shared" si="9"/>
        <v>0</v>
      </c>
      <c r="G41" s="71"/>
      <c r="H41" s="6"/>
      <c r="I41" s="6">
        <f t="shared" si="2"/>
        <v>0</v>
      </c>
      <c r="J41" s="5"/>
      <c r="K41" s="6">
        <f t="shared" si="3"/>
        <v>0</v>
      </c>
    </row>
    <row r="42" spans="1:11">
      <c r="A42" s="15" t="s">
        <v>31</v>
      </c>
      <c r="B42" s="12" t="s">
        <v>105</v>
      </c>
      <c r="C42" s="5">
        <v>46001.440000000002</v>
      </c>
      <c r="D42" s="6">
        <v>402230.44</v>
      </c>
      <c r="E42" s="75">
        <v>1.0699999999999999E-2</v>
      </c>
      <c r="F42" s="6">
        <f t="shared" si="9"/>
        <v>406534.30570800003</v>
      </c>
      <c r="G42" s="71"/>
      <c r="H42" s="6"/>
      <c r="I42" s="6">
        <f t="shared" si="2"/>
        <v>406534.30570800003</v>
      </c>
      <c r="J42" s="5"/>
      <c r="K42" s="6">
        <f t="shared" si="3"/>
        <v>406534.30570800003</v>
      </c>
    </row>
    <row r="43" spans="1:11">
      <c r="A43" s="15" t="s">
        <v>32</v>
      </c>
      <c r="B43" s="12" t="s">
        <v>114</v>
      </c>
      <c r="C43" s="5">
        <v>338476.6</v>
      </c>
      <c r="D43" s="6">
        <v>0</v>
      </c>
      <c r="E43" s="75">
        <v>1.0699999999999999E-2</v>
      </c>
      <c r="F43" s="6">
        <f t="shared" si="9"/>
        <v>0</v>
      </c>
      <c r="G43" s="71"/>
      <c r="H43" s="6">
        <f>+'Mesures nouvelles'!L62</f>
        <v>282072.97600000002</v>
      </c>
      <c r="I43" s="6">
        <f t="shared" si="2"/>
        <v>282072.97600000002</v>
      </c>
      <c r="J43" s="5"/>
      <c r="K43" s="6">
        <f t="shared" si="3"/>
        <v>282072.97600000002</v>
      </c>
    </row>
    <row r="44" spans="1:11">
      <c r="A44" s="15">
        <v>649</v>
      </c>
      <c r="B44" s="12" t="s">
        <v>35</v>
      </c>
      <c r="C44" s="5">
        <v>0</v>
      </c>
      <c r="D44" s="6">
        <v>0</v>
      </c>
      <c r="E44" s="75">
        <v>1.0699999999999999E-2</v>
      </c>
      <c r="F44" s="6">
        <f t="shared" si="9"/>
        <v>0</v>
      </c>
      <c r="G44" s="71"/>
      <c r="H44" s="6"/>
      <c r="I44" s="6">
        <f t="shared" si="2"/>
        <v>0</v>
      </c>
      <c r="J44" s="5"/>
      <c r="K44" s="6">
        <f t="shared" si="3"/>
        <v>0</v>
      </c>
    </row>
    <row r="45" spans="1:11" ht="18.75">
      <c r="A45" s="332" t="s">
        <v>107</v>
      </c>
      <c r="B45" s="332"/>
      <c r="C45" s="19">
        <f>C4+C17+C28</f>
        <v>132693989.61</v>
      </c>
      <c r="D45" s="19">
        <f>D4+D17+D28</f>
        <v>132279571.19999997</v>
      </c>
      <c r="E45" s="18"/>
      <c r="F45" s="33">
        <f>F4+F17+F28</f>
        <v>134377914.44207799</v>
      </c>
      <c r="G45" s="72">
        <f>G4+G17+G28</f>
        <v>-41064.444810476154</v>
      </c>
      <c r="H45" s="33">
        <f>H4+H17+H28</f>
        <v>2586516.0020000003</v>
      </c>
      <c r="I45" s="33">
        <f t="shared" ref="I45:K45" si="10">I4+I17+I28</f>
        <v>136923365.99926752</v>
      </c>
      <c r="J45" s="33">
        <f t="shared" si="10"/>
        <v>0</v>
      </c>
      <c r="K45" s="33">
        <f t="shared" si="10"/>
        <v>136923365.99926752</v>
      </c>
    </row>
    <row r="47" spans="1:11">
      <c r="A47" s="1" t="s">
        <v>129</v>
      </c>
      <c r="B47" s="13"/>
    </row>
    <row r="48" spans="1:11">
      <c r="A48" t="s">
        <v>109</v>
      </c>
      <c r="B48" t="s">
        <v>110</v>
      </c>
      <c r="G48" s="77"/>
    </row>
    <row r="49" spans="2:7">
      <c r="B49" t="s">
        <v>111</v>
      </c>
      <c r="G49" s="77"/>
    </row>
    <row r="50" spans="2:7">
      <c r="B50" t="s">
        <v>112</v>
      </c>
    </row>
    <row r="54" spans="2:7">
      <c r="G54" s="77"/>
    </row>
  </sheetData>
  <mergeCells count="5">
    <mergeCell ref="E1:K2"/>
    <mergeCell ref="A45:B45"/>
    <mergeCell ref="A1:B2"/>
    <mergeCell ref="C1:C2"/>
    <mergeCell ref="D1:D2"/>
  </mergeCells>
  <pageMargins left="0.23622047244094491" right="0.23622047244094491" top="0.74803149606299213" bottom="0.74803149606299213" header="0.31496062992125984" footer="0.31496062992125984"/>
  <pageSetup paperSize="9" scale="53" orientation="landscape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C4E249-53F4-4218-B024-0128AF45CC11}">
  <sheetPr>
    <pageSetUpPr fitToPage="1"/>
  </sheetPr>
  <dimension ref="A1:O63"/>
  <sheetViews>
    <sheetView zoomScaleNormal="100" workbookViewId="0">
      <selection activeCell="G37" sqref="G37"/>
    </sheetView>
  </sheetViews>
  <sheetFormatPr baseColWidth="10" defaultRowHeight="15"/>
  <cols>
    <col min="1" max="1" width="11.85546875" customWidth="1"/>
    <col min="2" max="2" width="88.7109375" customWidth="1"/>
    <col min="3" max="4" width="20.7109375" customWidth="1"/>
    <col min="5" max="5" width="11.42578125" bestFit="1" customWidth="1"/>
    <col min="6" max="11" width="20.7109375" customWidth="1"/>
    <col min="13" max="13" width="12.7109375" bestFit="1" customWidth="1"/>
  </cols>
  <sheetData>
    <row r="1" spans="1:13" ht="15" customHeight="1">
      <c r="A1" s="335" t="s">
        <v>92</v>
      </c>
      <c r="B1" s="335"/>
      <c r="C1" s="334">
        <v>2023</v>
      </c>
      <c r="D1" s="337">
        <v>2024</v>
      </c>
      <c r="E1" s="326">
        <v>2025</v>
      </c>
      <c r="F1" s="327"/>
      <c r="G1" s="327"/>
      <c r="H1" s="327"/>
      <c r="I1" s="327"/>
      <c r="J1" s="327"/>
      <c r="K1" s="328"/>
    </row>
    <row r="2" spans="1:13" ht="15" customHeight="1">
      <c r="A2" s="335"/>
      <c r="B2" s="335"/>
      <c r="C2" s="334"/>
      <c r="D2" s="337"/>
      <c r="E2" s="329"/>
      <c r="F2" s="330"/>
      <c r="G2" s="330"/>
      <c r="H2" s="330"/>
      <c r="I2" s="330"/>
      <c r="J2" s="330"/>
      <c r="K2" s="331"/>
    </row>
    <row r="3" spans="1:13" ht="37.5">
      <c r="A3" s="30" t="s">
        <v>36</v>
      </c>
      <c r="B3" s="11" t="s">
        <v>91</v>
      </c>
      <c r="C3" s="8" t="s">
        <v>95</v>
      </c>
      <c r="D3" s="9" t="s">
        <v>55</v>
      </c>
      <c r="E3" s="9" t="s">
        <v>130</v>
      </c>
      <c r="F3" s="32" t="s">
        <v>122</v>
      </c>
      <c r="G3" s="32" t="s">
        <v>449</v>
      </c>
      <c r="H3" s="32" t="s">
        <v>131</v>
      </c>
      <c r="I3" s="32" t="s">
        <v>450</v>
      </c>
      <c r="J3" s="32" t="s">
        <v>123</v>
      </c>
      <c r="K3" s="9" t="s">
        <v>56</v>
      </c>
    </row>
    <row r="4" spans="1:13" ht="18.75">
      <c r="A4" s="29" t="s">
        <v>1</v>
      </c>
      <c r="B4" s="17" t="s">
        <v>96</v>
      </c>
      <c r="C4" s="33">
        <f t="shared" ref="C4:J4" si="0">SUM(C5:C21)</f>
        <v>95159303.719999984</v>
      </c>
      <c r="D4" s="33">
        <f t="shared" si="0"/>
        <v>95061870.880000025</v>
      </c>
      <c r="E4" s="33"/>
      <c r="F4" s="33">
        <f t="shared" si="0"/>
        <v>97253864.645101979</v>
      </c>
      <c r="G4" s="33">
        <f t="shared" si="0"/>
        <v>-1891032.6333333335</v>
      </c>
      <c r="H4" s="33">
        <f t="shared" si="0"/>
        <v>519375.45841961959</v>
      </c>
      <c r="I4" s="33">
        <f t="shared" si="0"/>
        <v>95882207.470188275</v>
      </c>
      <c r="J4" s="33">
        <f t="shared" si="0"/>
        <v>0</v>
      </c>
      <c r="K4" s="33">
        <f>SUM(K5:K21)</f>
        <v>95882207.470188275</v>
      </c>
    </row>
    <row r="5" spans="1:13">
      <c r="A5" s="14">
        <v>621</v>
      </c>
      <c r="B5" s="3" t="s">
        <v>40</v>
      </c>
      <c r="C5" s="4">
        <v>2504077.5099999998</v>
      </c>
      <c r="D5" s="5">
        <v>2661631.86</v>
      </c>
      <c r="E5" s="69">
        <v>2.0899999999999998E-2</v>
      </c>
      <c r="F5" s="36">
        <f>D5*1.0209</f>
        <v>2717259.9658739995</v>
      </c>
      <c r="G5" s="36"/>
      <c r="H5" s="36"/>
      <c r="I5" s="36">
        <f>SUM(F5:H5)</f>
        <v>2717259.9658739995</v>
      </c>
      <c r="J5" s="5"/>
      <c r="K5" s="5">
        <f>+I5+J5</f>
        <v>2717259.9658739995</v>
      </c>
    </row>
    <row r="6" spans="1:13">
      <c r="A6" s="14">
        <v>631</v>
      </c>
      <c r="B6" s="3" t="s">
        <v>41</v>
      </c>
      <c r="C6" s="5">
        <v>5927757.3399999999</v>
      </c>
      <c r="D6" s="5">
        <v>5523290.5499999998</v>
      </c>
      <c r="E6" s="69">
        <v>2.0899999999999998E-2</v>
      </c>
      <c r="F6" s="36">
        <f t="shared" ref="F6:F21" si="1">D6*1.0209</f>
        <v>5638727.3224949995</v>
      </c>
      <c r="G6" s="36"/>
      <c r="H6" s="36"/>
      <c r="I6" s="36">
        <f t="shared" ref="I6:I21" si="2">SUM(F6:H6)</f>
        <v>5638727.3224949995</v>
      </c>
      <c r="J6" s="5"/>
      <c r="K6" s="5">
        <f t="shared" ref="K6:K44" si="3">+I6+J6</f>
        <v>5638727.3224949995</v>
      </c>
    </row>
    <row r="7" spans="1:13">
      <c r="A7" s="14">
        <v>633</v>
      </c>
      <c r="B7" s="3" t="s">
        <v>90</v>
      </c>
      <c r="C7" s="5">
        <v>2082180.35</v>
      </c>
      <c r="D7" s="5">
        <v>2098545.14</v>
      </c>
      <c r="E7" s="69">
        <v>2.0899999999999998E-2</v>
      </c>
      <c r="F7" s="36">
        <f t="shared" si="1"/>
        <v>2142404.733426</v>
      </c>
      <c r="G7" s="36"/>
      <c r="H7" s="36"/>
      <c r="I7" s="36">
        <f t="shared" si="2"/>
        <v>2142404.733426</v>
      </c>
      <c r="J7" s="5"/>
      <c r="K7" s="5">
        <f t="shared" si="3"/>
        <v>2142404.733426</v>
      </c>
    </row>
    <row r="8" spans="1:13">
      <c r="A8" s="14">
        <v>641</v>
      </c>
      <c r="B8" s="3" t="s">
        <v>42</v>
      </c>
      <c r="C8" s="5">
        <v>34714.699999999997</v>
      </c>
      <c r="D8" s="5">
        <v>35230.39</v>
      </c>
      <c r="E8" s="69">
        <v>2.0899999999999998E-2</v>
      </c>
      <c r="F8" s="36">
        <f t="shared" si="1"/>
        <v>35966.705150999995</v>
      </c>
      <c r="G8" s="36"/>
      <c r="H8" s="36"/>
      <c r="I8" s="36">
        <f t="shared" si="2"/>
        <v>35966.705150999995</v>
      </c>
      <c r="J8" s="5"/>
      <c r="K8" s="5">
        <f t="shared" si="3"/>
        <v>35966.705150999995</v>
      </c>
    </row>
    <row r="9" spans="1:13">
      <c r="A9" s="14">
        <v>6411</v>
      </c>
      <c r="B9" s="3" t="s">
        <v>43</v>
      </c>
      <c r="C9" s="5">
        <v>35251002.159999996</v>
      </c>
      <c r="D9" s="5">
        <v>35862515.57</v>
      </c>
      <c r="E9" s="69">
        <v>2.0899999999999998E-2</v>
      </c>
      <c r="F9" s="36">
        <f>D9*1.0209+(38866*0.73)</f>
        <v>36640414.325412996</v>
      </c>
      <c r="G9" s="36"/>
      <c r="H9" s="170">
        <f>+'Mesures nouvelles'!I60-A59</f>
        <v>839375.45841961959</v>
      </c>
      <c r="I9" s="36">
        <f>SUM(F9:H9)</f>
        <v>37479789.783832617</v>
      </c>
      <c r="J9" s="5"/>
      <c r="K9" s="5">
        <f t="shared" si="3"/>
        <v>37479789.783832617</v>
      </c>
    </row>
    <row r="10" spans="1:13">
      <c r="A10" s="14">
        <v>6413</v>
      </c>
      <c r="B10" s="3" t="s">
        <v>44</v>
      </c>
      <c r="C10" s="5">
        <v>3779406.08</v>
      </c>
      <c r="D10" s="5">
        <v>4259540.12</v>
      </c>
      <c r="E10" s="69">
        <v>2.0899999999999998E-2</v>
      </c>
      <c r="F10" s="36">
        <f t="shared" si="1"/>
        <v>4348564.5085079996</v>
      </c>
      <c r="G10" s="36"/>
      <c r="H10" s="36"/>
      <c r="I10" s="36">
        <f t="shared" si="2"/>
        <v>4348564.5085079996</v>
      </c>
      <c r="J10" s="5"/>
      <c r="K10" s="5">
        <f t="shared" si="3"/>
        <v>4348564.5085079996</v>
      </c>
    </row>
    <row r="11" spans="1:13">
      <c r="A11" s="14">
        <v>6415</v>
      </c>
      <c r="B11" s="3" t="s">
        <v>81</v>
      </c>
      <c r="C11" s="5">
        <v>4742469.59</v>
      </c>
      <c r="D11" s="5">
        <v>5077453.6199999992</v>
      </c>
      <c r="E11" s="69">
        <v>2.0899999999999998E-2</v>
      </c>
      <c r="F11" s="36">
        <f t="shared" si="1"/>
        <v>5183572.4006579984</v>
      </c>
      <c r="G11" s="36"/>
      <c r="H11" s="189">
        <f>+A60*-1</f>
        <v>-320000</v>
      </c>
      <c r="I11" s="36">
        <f t="shared" si="2"/>
        <v>4863572.4006579984</v>
      </c>
      <c r="J11" s="5"/>
      <c r="K11" s="5">
        <f t="shared" si="3"/>
        <v>4863572.4006579984</v>
      </c>
      <c r="M11" s="35"/>
    </row>
    <row r="12" spans="1:13">
      <c r="A12" s="14">
        <v>642</v>
      </c>
      <c r="B12" s="3" t="s">
        <v>45</v>
      </c>
      <c r="C12" s="5">
        <v>3125245.74</v>
      </c>
      <c r="D12" s="5">
        <v>2815155.27</v>
      </c>
      <c r="E12" s="69">
        <v>2.0899999999999998E-2</v>
      </c>
      <c r="F12" s="36">
        <f t="shared" si="1"/>
        <v>2873992.0151429996</v>
      </c>
      <c r="G12" s="36"/>
      <c r="H12" s="36"/>
      <c r="I12" s="36">
        <f t="shared" si="2"/>
        <v>2873992.0151429996</v>
      </c>
      <c r="J12" s="5"/>
      <c r="K12" s="5">
        <f t="shared" si="3"/>
        <v>2873992.0151429996</v>
      </c>
    </row>
    <row r="13" spans="1:13">
      <c r="A13" s="14">
        <v>6421</v>
      </c>
      <c r="B13" s="3" t="s">
        <v>46</v>
      </c>
      <c r="C13" s="5">
        <v>5007318.4000000004</v>
      </c>
      <c r="D13" s="5">
        <v>4802013.2300000004</v>
      </c>
      <c r="E13" s="69">
        <v>2.0899999999999998E-2</v>
      </c>
      <c r="F13" s="36">
        <f t="shared" si="1"/>
        <v>4902375.3065069998</v>
      </c>
      <c r="G13" s="36"/>
      <c r="H13" s="36"/>
      <c r="I13" s="36">
        <f t="shared" si="2"/>
        <v>4902375.3065069998</v>
      </c>
      <c r="J13" s="5"/>
      <c r="K13" s="5">
        <f t="shared" si="3"/>
        <v>4902375.3065069998</v>
      </c>
    </row>
    <row r="14" spans="1:13">
      <c r="A14" s="14">
        <v>6422</v>
      </c>
      <c r="B14" s="3" t="s">
        <v>47</v>
      </c>
      <c r="C14" s="5">
        <v>118011.87</v>
      </c>
      <c r="D14" s="5">
        <v>107088.81000000001</v>
      </c>
      <c r="E14" s="69">
        <v>2.0899999999999998E-2</v>
      </c>
      <c r="F14" s="36">
        <f t="shared" si="1"/>
        <v>109326.96612900001</v>
      </c>
      <c r="G14" s="36"/>
      <c r="H14" s="36"/>
      <c r="I14" s="36">
        <f t="shared" si="2"/>
        <v>109326.96612900001</v>
      </c>
      <c r="J14" s="5"/>
      <c r="K14" s="5">
        <f t="shared" si="3"/>
        <v>109326.96612900001</v>
      </c>
    </row>
    <row r="15" spans="1:13">
      <c r="A15" s="14">
        <v>6423</v>
      </c>
      <c r="B15" s="3" t="s">
        <v>48</v>
      </c>
      <c r="C15" s="5">
        <v>5828491.2199999997</v>
      </c>
      <c r="D15" s="5">
        <v>4363441.8900000015</v>
      </c>
      <c r="E15" s="69">
        <v>2.0899999999999998E-2</v>
      </c>
      <c r="F15" s="36">
        <f t="shared" si="1"/>
        <v>4454637.8255010014</v>
      </c>
      <c r="G15" s="36"/>
      <c r="H15" s="36"/>
      <c r="I15" s="36">
        <f t="shared" si="2"/>
        <v>4454637.8255010014</v>
      </c>
      <c r="J15" s="5"/>
      <c r="K15" s="5">
        <f t="shared" si="3"/>
        <v>4454637.8255010014</v>
      </c>
    </row>
    <row r="16" spans="1:13">
      <c r="A16" s="14">
        <v>6425</v>
      </c>
      <c r="B16" s="3" t="s">
        <v>49</v>
      </c>
      <c r="C16" s="5">
        <v>1902428.08</v>
      </c>
      <c r="D16" s="5">
        <v>2582318.04</v>
      </c>
      <c r="E16" s="69">
        <v>2.0899999999999998E-2</v>
      </c>
      <c r="F16" s="36">
        <f t="shared" si="1"/>
        <v>2636288.487036</v>
      </c>
      <c r="G16" s="36"/>
      <c r="H16" s="36"/>
      <c r="I16" s="36">
        <f t="shared" si="2"/>
        <v>2636288.487036</v>
      </c>
      <c r="J16" s="5"/>
      <c r="K16" s="5">
        <f t="shared" si="3"/>
        <v>2636288.487036</v>
      </c>
    </row>
    <row r="17" spans="1:15">
      <c r="A17" s="14">
        <v>6451</v>
      </c>
      <c r="B17" s="3" t="s">
        <v>50</v>
      </c>
      <c r="C17" s="5">
        <v>15584397.07</v>
      </c>
      <c r="D17" s="5">
        <v>15947476.34</v>
      </c>
      <c r="E17" s="69">
        <v>2.0899999999999998E-2</v>
      </c>
      <c r="F17" s="36">
        <f>D17*1.0209+166388.66371+(38666*0.27)</f>
        <v>16457607.079216</v>
      </c>
      <c r="G17" s="36"/>
      <c r="H17" s="36"/>
      <c r="I17" s="36">
        <f t="shared" si="2"/>
        <v>16457607.079216</v>
      </c>
      <c r="J17" s="5"/>
      <c r="K17" s="5">
        <f t="shared" si="3"/>
        <v>16457607.079216</v>
      </c>
      <c r="M17" t="s">
        <v>586</v>
      </c>
      <c r="N17">
        <v>8757298.0899999999</v>
      </c>
    </row>
    <row r="18" spans="1:15">
      <c r="A18" s="14">
        <v>6452</v>
      </c>
      <c r="B18" s="3" t="s">
        <v>51</v>
      </c>
      <c r="C18" s="5">
        <v>5221566.99</v>
      </c>
      <c r="D18" s="5">
        <v>4748337.04</v>
      </c>
      <c r="E18" s="69">
        <v>2.0899999999999998E-2</v>
      </c>
      <c r="F18" s="36">
        <f t="shared" si="1"/>
        <v>4847577.2841360001</v>
      </c>
      <c r="G18" s="36"/>
      <c r="H18" s="36"/>
      <c r="I18" s="36">
        <f t="shared" si="2"/>
        <v>4847577.2841360001</v>
      </c>
      <c r="J18" s="5"/>
      <c r="K18" s="5">
        <f t="shared" si="3"/>
        <v>4847577.2841360001</v>
      </c>
      <c r="M18" s="180" t="s">
        <v>587</v>
      </c>
      <c r="N18">
        <f>+N17*2.1/100</f>
        <v>183903.25988999999</v>
      </c>
    </row>
    <row r="19" spans="1:15">
      <c r="A19" s="14">
        <v>6471</v>
      </c>
      <c r="B19" s="3" t="s">
        <v>52</v>
      </c>
      <c r="C19" s="5">
        <v>1336198.7</v>
      </c>
      <c r="D19" s="5">
        <v>1394498.7</v>
      </c>
      <c r="E19" s="69">
        <v>2.0899999999999998E-2</v>
      </c>
      <c r="F19" s="36">
        <f t="shared" si="1"/>
        <v>1423643.7228299999</v>
      </c>
      <c r="G19" s="36"/>
      <c r="H19" s="36"/>
      <c r="I19" s="36">
        <f t="shared" si="2"/>
        <v>1423643.7228299999</v>
      </c>
      <c r="J19" s="5"/>
      <c r="K19" s="5">
        <f t="shared" si="3"/>
        <v>1423643.7228299999</v>
      </c>
      <c r="M19" s="180" t="s">
        <v>588</v>
      </c>
      <c r="N19">
        <f>+N17*0.04</f>
        <v>350291.92359999998</v>
      </c>
    </row>
    <row r="20" spans="1:15">
      <c r="A20" s="14">
        <v>6472</v>
      </c>
      <c r="B20" s="3" t="s">
        <v>53</v>
      </c>
      <c r="C20" s="5">
        <v>173224.76000000004</v>
      </c>
      <c r="D20" s="5">
        <v>167556.03</v>
      </c>
      <c r="E20" s="69">
        <v>2.0899999999999998E-2</v>
      </c>
      <c r="F20" s="36">
        <f t="shared" si="1"/>
        <v>171057.95102699997</v>
      </c>
      <c r="G20" s="36"/>
      <c r="H20" s="36"/>
      <c r="I20" s="36">
        <f t="shared" si="2"/>
        <v>171057.95102699997</v>
      </c>
      <c r="J20" s="5"/>
      <c r="K20" s="5">
        <f t="shared" si="3"/>
        <v>171057.95102699997</v>
      </c>
      <c r="N20">
        <f>+N19-N18</f>
        <v>166388.66370999999</v>
      </c>
      <c r="O20">
        <v>166388.66370999999</v>
      </c>
    </row>
    <row r="21" spans="1:15">
      <c r="A21" s="14">
        <v>648</v>
      </c>
      <c r="B21" s="3" t="s">
        <v>54</v>
      </c>
      <c r="C21" s="5">
        <v>2540813.1600000006</v>
      </c>
      <c r="D21" s="5">
        <v>2615778.2800000003</v>
      </c>
      <c r="E21" s="69">
        <v>2.0899999999999998E-2</v>
      </c>
      <c r="F21" s="36">
        <f t="shared" si="1"/>
        <v>2670448.046052</v>
      </c>
      <c r="G21" s="89">
        <f>-2269239.16*0.833333333333333</f>
        <v>-1891032.6333333335</v>
      </c>
      <c r="H21" s="36"/>
      <c r="I21" s="36">
        <f t="shared" si="2"/>
        <v>779415.41271866648</v>
      </c>
      <c r="J21" s="5"/>
      <c r="K21" s="5">
        <f t="shared" si="3"/>
        <v>779415.41271866648</v>
      </c>
    </row>
    <row r="22" spans="1:15" ht="18.75">
      <c r="A22" s="29" t="s">
        <v>15</v>
      </c>
      <c r="B22" s="17" t="s">
        <v>37</v>
      </c>
      <c r="C22" s="18">
        <f>SUM(C23:C31)</f>
        <v>27311427.380000003</v>
      </c>
      <c r="D22" s="18">
        <f t="shared" ref="D22:K22" si="4">SUM(D23:D31)</f>
        <v>27865578.579999998</v>
      </c>
      <c r="E22" s="18"/>
      <c r="F22" s="18">
        <f t="shared" si="4"/>
        <v>29147395.194680002</v>
      </c>
      <c r="G22" s="18">
        <f t="shared" si="4"/>
        <v>0</v>
      </c>
      <c r="H22" s="18">
        <f t="shared" si="4"/>
        <v>3000</v>
      </c>
      <c r="I22" s="18">
        <f t="shared" si="4"/>
        <v>29150395.194680002</v>
      </c>
      <c r="J22" s="18">
        <f t="shared" si="4"/>
        <v>0</v>
      </c>
      <c r="K22" s="18">
        <f t="shared" si="4"/>
        <v>29150395.194680002</v>
      </c>
    </row>
    <row r="23" spans="1:15">
      <c r="A23" s="14">
        <v>6011</v>
      </c>
      <c r="B23" s="3" t="s">
        <v>57</v>
      </c>
      <c r="C23" s="5">
        <v>0</v>
      </c>
      <c r="D23" s="5">
        <v>0</v>
      </c>
      <c r="E23" s="70">
        <v>4.5999999999999999E-2</v>
      </c>
      <c r="F23" s="36">
        <f>D23*1.046</f>
        <v>0</v>
      </c>
      <c r="G23" s="36"/>
      <c r="H23" s="36"/>
      <c r="I23" s="36">
        <f>SUM(F23:H23)</f>
        <v>0</v>
      </c>
      <c r="J23" s="5"/>
      <c r="K23" s="5">
        <f t="shared" si="3"/>
        <v>0</v>
      </c>
    </row>
    <row r="24" spans="1:15">
      <c r="A24" s="14">
        <v>6021</v>
      </c>
      <c r="B24" s="3" t="s">
        <v>58</v>
      </c>
      <c r="C24" s="5">
        <v>13234072.32</v>
      </c>
      <c r="D24" s="5">
        <v>13884775.4</v>
      </c>
      <c r="E24" s="70">
        <v>4.5999999999999999E-2</v>
      </c>
      <c r="F24" s="36">
        <f t="shared" ref="F24:F31" si="5">D24*1.046</f>
        <v>14523475.068400001</v>
      </c>
      <c r="G24" s="36"/>
      <c r="H24" s="36"/>
      <c r="I24" s="36">
        <f t="shared" ref="I24:I31" si="6">SUM(F24:H24)</f>
        <v>14523475.068400001</v>
      </c>
      <c r="J24" s="5"/>
      <c r="K24" s="5">
        <f t="shared" si="3"/>
        <v>14523475.068400001</v>
      </c>
    </row>
    <row r="25" spans="1:15">
      <c r="A25" s="14">
        <v>6022</v>
      </c>
      <c r="B25" s="3" t="s">
        <v>59</v>
      </c>
      <c r="C25" s="5">
        <v>7920011.46</v>
      </c>
      <c r="D25" s="5">
        <v>8243627.0700000003</v>
      </c>
      <c r="E25" s="70">
        <v>4.5999999999999999E-2</v>
      </c>
      <c r="F25" s="36">
        <f t="shared" si="5"/>
        <v>8622833.9152199998</v>
      </c>
      <c r="G25" s="36"/>
      <c r="H25" s="36"/>
      <c r="I25" s="36">
        <f t="shared" si="6"/>
        <v>8622833.9152199998</v>
      </c>
      <c r="J25" s="5"/>
      <c r="K25" s="5">
        <f t="shared" si="3"/>
        <v>8622833.9152199998</v>
      </c>
    </row>
    <row r="26" spans="1:15">
      <c r="A26" s="14">
        <v>6066</v>
      </c>
      <c r="B26" s="3" t="s">
        <v>82</v>
      </c>
      <c r="C26" s="5">
        <v>365316.87</v>
      </c>
      <c r="D26" s="5">
        <v>764675.96</v>
      </c>
      <c r="E26" s="70">
        <v>4.5999999999999999E-2</v>
      </c>
      <c r="F26" s="36">
        <f t="shared" si="5"/>
        <v>799851.05415999994</v>
      </c>
      <c r="G26" s="36"/>
      <c r="H26" s="36"/>
      <c r="I26" s="36">
        <f t="shared" si="6"/>
        <v>799851.05415999994</v>
      </c>
      <c r="J26" s="5"/>
      <c r="K26" s="5">
        <f t="shared" si="3"/>
        <v>799851.05415999994</v>
      </c>
    </row>
    <row r="27" spans="1:15">
      <c r="A27" s="14">
        <v>6071</v>
      </c>
      <c r="B27" s="3" t="s">
        <v>60</v>
      </c>
      <c r="C27" s="5">
        <v>0</v>
      </c>
      <c r="D27" s="5">
        <v>0</v>
      </c>
      <c r="E27" s="70">
        <v>4.5999999999999999E-2</v>
      </c>
      <c r="F27" s="36">
        <f t="shared" si="5"/>
        <v>0</v>
      </c>
      <c r="G27" s="36"/>
      <c r="H27" s="36"/>
      <c r="I27" s="36">
        <f t="shared" si="6"/>
        <v>0</v>
      </c>
      <c r="J27" s="5"/>
      <c r="K27" s="5">
        <f t="shared" si="3"/>
        <v>0</v>
      </c>
    </row>
    <row r="28" spans="1:15">
      <c r="A28" s="14">
        <v>603</v>
      </c>
      <c r="B28" s="3" t="s">
        <v>61</v>
      </c>
      <c r="C28" s="5">
        <v>1054368.1800000002</v>
      </c>
      <c r="D28" s="6">
        <v>0</v>
      </c>
      <c r="E28" s="70">
        <v>4.5999999999999999E-2</v>
      </c>
      <c r="F28" s="36">
        <f t="shared" si="5"/>
        <v>0</v>
      </c>
      <c r="G28" s="36"/>
      <c r="H28" s="36"/>
      <c r="I28" s="36">
        <f t="shared" si="6"/>
        <v>0</v>
      </c>
      <c r="J28" s="5"/>
      <c r="K28" s="5">
        <f t="shared" si="3"/>
        <v>0</v>
      </c>
    </row>
    <row r="29" spans="1:15">
      <c r="A29" s="14">
        <v>611</v>
      </c>
      <c r="B29" s="3" t="s">
        <v>62</v>
      </c>
      <c r="C29" s="5">
        <v>2113914.83</v>
      </c>
      <c r="D29" s="5">
        <v>1946431.63</v>
      </c>
      <c r="E29" s="70">
        <v>4.5999999999999999E-2</v>
      </c>
      <c r="F29" s="36">
        <f t="shared" si="5"/>
        <v>2035967.48498</v>
      </c>
      <c r="G29" s="36"/>
      <c r="H29" s="36">
        <f>+'Mesures nouvelles'!I61</f>
        <v>3000</v>
      </c>
      <c r="I29" s="36">
        <f t="shared" si="6"/>
        <v>2038967.48498</v>
      </c>
      <c r="J29" s="5"/>
      <c r="K29" s="5">
        <f t="shared" si="3"/>
        <v>2038967.48498</v>
      </c>
    </row>
    <row r="30" spans="1:15">
      <c r="A30" s="14">
        <v>6131</v>
      </c>
      <c r="B30" s="3" t="s">
        <v>63</v>
      </c>
      <c r="C30" s="5">
        <v>1073254.05</v>
      </c>
      <c r="D30" s="5">
        <v>1312001</v>
      </c>
      <c r="E30" s="70">
        <v>4.5999999999999999E-2</v>
      </c>
      <c r="F30" s="36">
        <f t="shared" si="5"/>
        <v>1372353.0460000001</v>
      </c>
      <c r="G30" s="36"/>
      <c r="H30" s="36"/>
      <c r="I30" s="36">
        <f t="shared" si="6"/>
        <v>1372353.0460000001</v>
      </c>
      <c r="J30" s="5"/>
      <c r="K30" s="5">
        <f t="shared" si="3"/>
        <v>1372353.0460000001</v>
      </c>
    </row>
    <row r="31" spans="1:15">
      <c r="A31" s="14">
        <v>6151</v>
      </c>
      <c r="B31" s="3" t="s">
        <v>64</v>
      </c>
      <c r="C31" s="5">
        <v>1550489.67</v>
      </c>
      <c r="D31" s="5">
        <v>1714067.52</v>
      </c>
      <c r="E31" s="70">
        <v>4.5999999999999999E-2</v>
      </c>
      <c r="F31" s="36">
        <f t="shared" si="5"/>
        <v>1792914.62592</v>
      </c>
      <c r="G31" s="36"/>
      <c r="H31" s="36"/>
      <c r="I31" s="36">
        <f t="shared" si="6"/>
        <v>1792914.62592</v>
      </c>
      <c r="J31" s="5"/>
      <c r="K31" s="5">
        <f t="shared" si="3"/>
        <v>1792914.62592</v>
      </c>
    </row>
    <row r="32" spans="1:15" ht="18.75">
      <c r="A32" s="29" t="s">
        <v>24</v>
      </c>
      <c r="B32" s="17" t="s">
        <v>38</v>
      </c>
      <c r="C32" s="18">
        <f>SUM(C33:C44)</f>
        <v>15005171.159999998</v>
      </c>
      <c r="D32" s="18">
        <f>SUM(D33:D44)</f>
        <v>14911127.18</v>
      </c>
      <c r="E32" s="68">
        <v>0.02</v>
      </c>
      <c r="F32" s="33">
        <f>SUM(F33:F44)</f>
        <v>15209349.723600002</v>
      </c>
      <c r="G32" s="33">
        <f t="shared" ref="G32:K32" si="7">SUM(G33:G44)</f>
        <v>2837992.9652858842</v>
      </c>
      <c r="H32" s="33">
        <f t="shared" si="7"/>
        <v>765346.91292000003</v>
      </c>
      <c r="I32" s="33">
        <f t="shared" si="7"/>
        <v>18812689.601805884</v>
      </c>
      <c r="J32" s="33">
        <f t="shared" si="7"/>
        <v>0</v>
      </c>
      <c r="K32" s="33">
        <f t="shared" si="7"/>
        <v>18812689.601805884</v>
      </c>
    </row>
    <row r="33" spans="1:11">
      <c r="A33" s="14">
        <v>6012</v>
      </c>
      <c r="B33" s="3" t="s">
        <v>65</v>
      </c>
      <c r="C33" s="5"/>
      <c r="D33" s="5"/>
      <c r="E33" s="70">
        <v>0.02</v>
      </c>
      <c r="F33" s="36">
        <f t="shared" ref="F33:F44" si="8">D33*1.02</f>
        <v>0</v>
      </c>
      <c r="G33" s="36"/>
      <c r="H33" s="36"/>
      <c r="I33" s="36">
        <f>SUM(F33:H33)</f>
        <v>0</v>
      </c>
      <c r="J33" s="5"/>
      <c r="K33" s="5">
        <f t="shared" si="3"/>
        <v>0</v>
      </c>
    </row>
    <row r="34" spans="1:11">
      <c r="A34" s="14">
        <v>602</v>
      </c>
      <c r="B34" s="3" t="s">
        <v>66</v>
      </c>
      <c r="C34" s="5">
        <v>2072404.37</v>
      </c>
      <c r="D34" s="5">
        <v>2135098</v>
      </c>
      <c r="E34" s="70">
        <v>0.02</v>
      </c>
      <c r="F34" s="36">
        <f t="shared" si="8"/>
        <v>2177799.96</v>
      </c>
      <c r="G34" s="36"/>
      <c r="H34" s="36"/>
      <c r="I34" s="36">
        <f t="shared" ref="I34:I44" si="9">SUM(F34:H34)</f>
        <v>2177799.96</v>
      </c>
      <c r="J34" s="5"/>
      <c r="K34" s="5">
        <f>+I34+J34</f>
        <v>2177799.96</v>
      </c>
    </row>
    <row r="35" spans="1:11">
      <c r="A35" s="14">
        <v>606</v>
      </c>
      <c r="B35" s="3" t="s">
        <v>67</v>
      </c>
      <c r="C35" s="5">
        <v>4468387.59</v>
      </c>
      <c r="D35" s="5">
        <v>3834898.23</v>
      </c>
      <c r="E35" s="70">
        <v>0.02</v>
      </c>
      <c r="F35" s="36">
        <f t="shared" si="8"/>
        <v>3911596.1946</v>
      </c>
      <c r="G35" s="36"/>
      <c r="H35" s="36"/>
      <c r="I35" s="36">
        <f t="shared" si="9"/>
        <v>3911596.1946</v>
      </c>
      <c r="J35" s="5"/>
      <c r="K35" s="5">
        <f t="shared" si="3"/>
        <v>3911596.1946</v>
      </c>
    </row>
    <row r="36" spans="1:11">
      <c r="A36" s="14">
        <v>6072</v>
      </c>
      <c r="B36" s="3" t="s">
        <v>68</v>
      </c>
      <c r="C36" s="5"/>
      <c r="D36" s="5"/>
      <c r="E36" s="70">
        <v>0.02</v>
      </c>
      <c r="F36" s="36">
        <f t="shared" si="8"/>
        <v>0</v>
      </c>
      <c r="G36" s="36"/>
      <c r="H36" s="36"/>
      <c r="I36" s="36">
        <f t="shared" si="9"/>
        <v>0</v>
      </c>
      <c r="J36" s="5"/>
      <c r="K36" s="5">
        <f t="shared" si="3"/>
        <v>0</v>
      </c>
    </row>
    <row r="37" spans="1:11">
      <c r="A37" s="14">
        <v>603</v>
      </c>
      <c r="B37" s="3" t="s">
        <v>69</v>
      </c>
      <c r="C37" s="5">
        <v>326950.50000000006</v>
      </c>
      <c r="D37" s="5">
        <v>0</v>
      </c>
      <c r="E37" s="70">
        <v>0.02</v>
      </c>
      <c r="F37" s="36">
        <f t="shared" si="8"/>
        <v>0</v>
      </c>
      <c r="G37" s="36"/>
      <c r="H37" s="36"/>
      <c r="I37" s="36">
        <f t="shared" si="9"/>
        <v>0</v>
      </c>
      <c r="J37" s="5"/>
      <c r="K37" s="5">
        <f t="shared" si="3"/>
        <v>0</v>
      </c>
    </row>
    <row r="38" spans="1:11">
      <c r="A38" s="14">
        <v>61</v>
      </c>
      <c r="B38" s="3" t="s">
        <v>70</v>
      </c>
      <c r="C38" s="5">
        <v>3265419.07</v>
      </c>
      <c r="D38" s="5">
        <v>3821608.75</v>
      </c>
      <c r="E38" s="70">
        <v>0.02</v>
      </c>
      <c r="F38" s="36">
        <f t="shared" si="8"/>
        <v>3898040.9250000003</v>
      </c>
      <c r="G38" s="36"/>
      <c r="H38" s="36"/>
      <c r="I38" s="36">
        <f t="shared" si="9"/>
        <v>3898040.9250000003</v>
      </c>
      <c r="J38" s="5"/>
      <c r="K38" s="5">
        <f t="shared" si="3"/>
        <v>3898040.9250000003</v>
      </c>
    </row>
    <row r="39" spans="1:11">
      <c r="A39" s="14">
        <v>62</v>
      </c>
      <c r="B39" s="3" t="s">
        <v>71</v>
      </c>
      <c r="C39" s="5">
        <v>4384555.53</v>
      </c>
      <c r="D39" s="5">
        <v>4578182.45</v>
      </c>
      <c r="E39" s="70">
        <v>0.02</v>
      </c>
      <c r="F39" s="36">
        <f t="shared" si="8"/>
        <v>4669746.0990000004</v>
      </c>
      <c r="G39" s="36"/>
      <c r="H39" s="36">
        <f>+'Mesures nouvelles'!I62</f>
        <v>765346.91292000003</v>
      </c>
      <c r="I39" s="36">
        <f t="shared" si="9"/>
        <v>5435093.0119200004</v>
      </c>
      <c r="J39" s="5"/>
      <c r="K39" s="5">
        <f t="shared" si="3"/>
        <v>5435093.0119200004</v>
      </c>
    </row>
    <row r="40" spans="1:11">
      <c r="A40" s="14">
        <v>63</v>
      </c>
      <c r="B40" s="3" t="s">
        <v>72</v>
      </c>
      <c r="C40" s="5">
        <v>16443</v>
      </c>
      <c r="D40" s="5">
        <v>5758</v>
      </c>
      <c r="E40" s="70">
        <v>0.02</v>
      </c>
      <c r="F40" s="36">
        <f t="shared" si="8"/>
        <v>5873.16</v>
      </c>
      <c r="G40" s="36"/>
      <c r="H40" s="36"/>
      <c r="I40" s="36">
        <f t="shared" si="9"/>
        <v>5873.16</v>
      </c>
      <c r="J40" s="5"/>
      <c r="K40" s="5">
        <f t="shared" si="3"/>
        <v>5873.16</v>
      </c>
    </row>
    <row r="41" spans="1:11">
      <c r="A41" s="14">
        <v>65</v>
      </c>
      <c r="B41" s="3" t="s">
        <v>73</v>
      </c>
      <c r="C41" s="5">
        <v>273163.81</v>
      </c>
      <c r="D41" s="5">
        <v>335581.75</v>
      </c>
      <c r="E41" s="70">
        <v>0.02</v>
      </c>
      <c r="F41" s="36">
        <f t="shared" si="8"/>
        <v>342293.38500000001</v>
      </c>
      <c r="G41" s="36">
        <f>(765641.287644111+2589950.27069895+50000)*10/12</f>
        <v>2837992.9652858842</v>
      </c>
      <c r="H41" s="36"/>
      <c r="I41" s="36">
        <f t="shared" si="9"/>
        <v>3180286.350285884</v>
      </c>
      <c r="J41" s="5"/>
      <c r="K41" s="5">
        <f t="shared" si="3"/>
        <v>3180286.350285884</v>
      </c>
    </row>
    <row r="42" spans="1:11">
      <c r="A42" s="14">
        <v>653</v>
      </c>
      <c r="B42" s="3" t="s">
        <v>74</v>
      </c>
      <c r="C42" s="5">
        <v>197847.29</v>
      </c>
      <c r="D42" s="5">
        <v>200000</v>
      </c>
      <c r="E42" s="70">
        <v>0.02</v>
      </c>
      <c r="F42" s="36">
        <f t="shared" si="8"/>
        <v>204000</v>
      </c>
      <c r="G42" s="36"/>
      <c r="H42" s="36"/>
      <c r="I42" s="36">
        <f t="shared" si="9"/>
        <v>204000</v>
      </c>
      <c r="J42" s="5"/>
      <c r="K42" s="5">
        <f t="shared" si="3"/>
        <v>204000</v>
      </c>
    </row>
    <row r="43" spans="1:11">
      <c r="A43" s="14">
        <v>709</v>
      </c>
      <c r="B43" s="3" t="s">
        <v>75</v>
      </c>
      <c r="C43" s="5"/>
      <c r="D43" s="5"/>
      <c r="E43" s="70">
        <v>0.02</v>
      </c>
      <c r="F43" s="36">
        <f t="shared" si="8"/>
        <v>0</v>
      </c>
      <c r="G43" s="36"/>
      <c r="H43" s="36"/>
      <c r="I43" s="36">
        <f t="shared" si="9"/>
        <v>0</v>
      </c>
      <c r="J43" s="5"/>
      <c r="K43" s="5">
        <f t="shared" si="3"/>
        <v>0</v>
      </c>
    </row>
    <row r="44" spans="1:11">
      <c r="A44" s="14">
        <v>71</v>
      </c>
      <c r="B44" s="3" t="s">
        <v>76</v>
      </c>
      <c r="C44" s="5"/>
      <c r="D44" s="5"/>
      <c r="E44" s="70">
        <v>0.02</v>
      </c>
      <c r="F44" s="36">
        <f t="shared" si="8"/>
        <v>0</v>
      </c>
      <c r="G44" s="36"/>
      <c r="H44" s="36"/>
      <c r="I44" s="36">
        <f t="shared" si="9"/>
        <v>0</v>
      </c>
      <c r="J44" s="5"/>
      <c r="K44" s="5">
        <f t="shared" si="3"/>
        <v>0</v>
      </c>
    </row>
    <row r="45" spans="1:11" ht="18.75">
      <c r="A45" s="29" t="s">
        <v>39</v>
      </c>
      <c r="B45" s="17" t="s">
        <v>176</v>
      </c>
      <c r="C45" s="33">
        <f t="shared" ref="C45" si="10">SUM(C46:C49)</f>
        <v>9967240.379999999</v>
      </c>
      <c r="D45" s="33">
        <f t="shared" ref="D45" si="11">SUM(D46:D49)</f>
        <v>8076521.3799999999</v>
      </c>
      <c r="E45" s="33">
        <f t="shared" ref="E45:F45" si="12">SUM(E46:E49)</f>
        <v>0</v>
      </c>
      <c r="F45" s="33">
        <f t="shared" si="12"/>
        <v>8076521.3799999999</v>
      </c>
      <c r="G45" s="33">
        <f t="shared" ref="G45" si="13">SUM(G46:G49)</f>
        <v>0</v>
      </c>
      <c r="H45" s="33">
        <f t="shared" ref="H45" si="14">SUM(H46:H49)</f>
        <v>0</v>
      </c>
      <c r="I45" s="33">
        <f>SUM(I46:I49)</f>
        <v>8076521.3799999999</v>
      </c>
      <c r="J45" s="33">
        <f t="shared" ref="J45:K45" si="15">SUM(J46:J49)</f>
        <v>0</v>
      </c>
      <c r="K45" s="33">
        <f t="shared" si="15"/>
        <v>8076521.3799999999</v>
      </c>
    </row>
    <row r="46" spans="1:11">
      <c r="A46" s="14">
        <v>66</v>
      </c>
      <c r="B46" s="3" t="s">
        <v>77</v>
      </c>
      <c r="C46" s="5">
        <v>963516.21</v>
      </c>
      <c r="D46" s="5">
        <v>954769.8899999999</v>
      </c>
      <c r="E46" s="70"/>
      <c r="F46" s="36">
        <f>D46</f>
        <v>954769.8899999999</v>
      </c>
      <c r="G46" s="36"/>
      <c r="H46" s="36"/>
      <c r="I46" s="36">
        <f>SUM(F46:H46)</f>
        <v>954769.8899999999</v>
      </c>
      <c r="J46" s="5"/>
      <c r="K46" s="5">
        <f t="shared" ref="K46:K49" si="16">+I46+J46</f>
        <v>954769.8899999999</v>
      </c>
    </row>
    <row r="47" spans="1:11">
      <c r="A47" s="14">
        <v>67</v>
      </c>
      <c r="B47" s="3" t="s">
        <v>78</v>
      </c>
      <c r="C47" s="5">
        <v>623710.74</v>
      </c>
      <c r="D47" s="5">
        <v>720207.48999999987</v>
      </c>
      <c r="E47" s="70"/>
      <c r="F47" s="36">
        <f>D47</f>
        <v>720207.48999999987</v>
      </c>
      <c r="G47" s="36"/>
      <c r="H47" s="36"/>
      <c r="I47" s="36">
        <f t="shared" ref="I47:I49" si="17">SUM(F47:H47)</f>
        <v>720207.48999999987</v>
      </c>
      <c r="J47" s="5"/>
      <c r="K47" s="5">
        <f t="shared" si="16"/>
        <v>720207.48999999987</v>
      </c>
    </row>
    <row r="48" spans="1:11">
      <c r="A48" s="14">
        <v>68</v>
      </c>
      <c r="B48" s="3" t="s">
        <v>79</v>
      </c>
      <c r="C48" s="5">
        <v>8380013.4299999997</v>
      </c>
      <c r="D48" s="5">
        <v>6401544</v>
      </c>
      <c r="E48" s="70"/>
      <c r="F48" s="36">
        <f>D48</f>
        <v>6401544</v>
      </c>
      <c r="G48" s="36"/>
      <c r="H48" s="36"/>
      <c r="I48" s="36">
        <f t="shared" si="17"/>
        <v>6401544</v>
      </c>
      <c r="J48" s="5"/>
      <c r="K48" s="5">
        <f t="shared" si="16"/>
        <v>6401544</v>
      </c>
    </row>
    <row r="49" spans="1:11">
      <c r="A49" s="14">
        <v>69</v>
      </c>
      <c r="B49" s="3" t="s">
        <v>80</v>
      </c>
      <c r="C49" s="5"/>
      <c r="D49" s="5"/>
      <c r="E49" s="70"/>
      <c r="F49" s="36">
        <f>D49</f>
        <v>0</v>
      </c>
      <c r="G49" s="36"/>
      <c r="H49" s="36"/>
      <c r="I49" s="36">
        <f t="shared" si="17"/>
        <v>0</v>
      </c>
      <c r="J49" s="5"/>
      <c r="K49" s="5">
        <f t="shared" si="16"/>
        <v>0</v>
      </c>
    </row>
    <row r="50" spans="1:11" ht="18.75">
      <c r="A50" s="336" t="s">
        <v>106</v>
      </c>
      <c r="B50" s="336"/>
      <c r="C50" s="19">
        <f>C4+C22+C32+C45</f>
        <v>147443142.63999999</v>
      </c>
      <c r="D50" s="19">
        <f>D4+D22+D32+D45</f>
        <v>145915098.02000001</v>
      </c>
      <c r="E50" s="68"/>
      <c r="F50" s="33">
        <f>F4+F22+F32+F45</f>
        <v>149687130.94338199</v>
      </c>
      <c r="G50" s="33">
        <f>G4+G22+G32+G45</f>
        <v>946960.33195255068</v>
      </c>
      <c r="H50" s="33">
        <f t="shared" ref="H50:J50" si="18">H4+H22+H32+H45</f>
        <v>1287722.3713396196</v>
      </c>
      <c r="I50" s="33">
        <f t="shared" si="18"/>
        <v>151921813.64667416</v>
      </c>
      <c r="J50" s="33">
        <f t="shared" si="18"/>
        <v>0</v>
      </c>
      <c r="K50" s="33">
        <f>K4+K22+K32+K45</f>
        <v>151921813.64667416</v>
      </c>
    </row>
    <row r="52" spans="1:11">
      <c r="G52" s="77"/>
    </row>
    <row r="53" spans="1:11" ht="6.75" customHeight="1"/>
    <row r="54" spans="1:11">
      <c r="A54" s="1" t="s">
        <v>128</v>
      </c>
      <c r="G54" s="77"/>
    </row>
    <row r="55" spans="1:11" ht="15" customHeight="1">
      <c r="B55" s="34" t="s">
        <v>93</v>
      </c>
      <c r="G55" s="77"/>
    </row>
    <row r="56" spans="1:11">
      <c r="B56" s="34"/>
      <c r="G56" s="77"/>
    </row>
    <row r="57" spans="1:11">
      <c r="B57" s="34"/>
    </row>
    <row r="58" spans="1:11">
      <c r="B58" s="34"/>
    </row>
    <row r="59" spans="1:11">
      <c r="A59" s="176">
        <v>380000</v>
      </c>
      <c r="B59" s="171" t="s">
        <v>504</v>
      </c>
    </row>
    <row r="60" spans="1:11">
      <c r="A60" s="176">
        <v>320000</v>
      </c>
      <c r="B60" s="171" t="s">
        <v>505</v>
      </c>
    </row>
    <row r="61" spans="1:11">
      <c r="B61" s="34"/>
    </row>
    <row r="62" spans="1:11">
      <c r="B62" s="34"/>
    </row>
    <row r="63" spans="1:11">
      <c r="B63" s="34"/>
    </row>
  </sheetData>
  <mergeCells count="5">
    <mergeCell ref="A1:B2"/>
    <mergeCell ref="A50:B50"/>
    <mergeCell ref="C1:C2"/>
    <mergeCell ref="D1:D2"/>
    <mergeCell ref="E1:K2"/>
  </mergeCells>
  <pageMargins left="0.23622047244094491" right="0.23622047244094491" top="0.74803149606299213" bottom="0.74803149606299213" header="0.31496062992125984" footer="0.31496062992125984"/>
  <pageSetup paperSize="9" scale="51" orientation="landscape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FFC8FF-0E02-4D1C-A8D0-4506DAF886A5}">
  <sheetPr>
    <pageSetUpPr fitToPage="1"/>
  </sheetPr>
  <dimension ref="A1:Q71"/>
  <sheetViews>
    <sheetView showGridLines="0" zoomScale="80" zoomScaleNormal="80" workbookViewId="0">
      <pane xSplit="2" ySplit="5" topLeftCell="C18" activePane="bottomRight" state="frozen"/>
      <selection pane="topRight" activeCell="C1" sqref="C1"/>
      <selection pane="bottomLeft" activeCell="A6" sqref="A6"/>
      <selection pane="bottomRight" activeCell="T27" sqref="T27"/>
    </sheetView>
  </sheetViews>
  <sheetFormatPr baseColWidth="10" defaultColWidth="11.42578125" defaultRowHeight="15"/>
  <cols>
    <col min="1" max="1" width="20" style="66" bestFit="1" customWidth="1"/>
    <col min="2" max="2" width="40.5703125" style="37" customWidth="1"/>
    <col min="3" max="3" width="21" style="37" bestFit="1" customWidth="1"/>
    <col min="4" max="4" width="15.7109375" style="66" customWidth="1"/>
    <col min="5" max="8" width="15.28515625" style="37" customWidth="1"/>
    <col min="9" max="9" width="15" style="37" bestFit="1" customWidth="1"/>
    <col min="10" max="10" width="2.7109375" style="37" customWidth="1"/>
    <col min="11" max="11" width="32.140625" style="37" bestFit="1" customWidth="1"/>
    <col min="12" max="12" width="15.42578125" style="37" bestFit="1" customWidth="1"/>
    <col min="13" max="13" width="2.7109375" style="37" customWidth="1"/>
    <col min="14" max="14" width="15.28515625" style="246" customWidth="1"/>
    <col min="15" max="15" width="11.7109375" style="37" bestFit="1" customWidth="1"/>
    <col min="16" max="16384" width="11.42578125" style="37"/>
  </cols>
  <sheetData>
    <row r="1" spans="1:16" ht="18.75">
      <c r="A1" s="342" t="s">
        <v>585</v>
      </c>
      <c r="B1" s="342"/>
      <c r="C1" s="342"/>
      <c r="D1" s="342"/>
      <c r="E1" s="342"/>
      <c r="F1" s="342"/>
      <c r="G1" s="342"/>
      <c r="H1" s="342"/>
      <c r="I1" s="342"/>
      <c r="J1" s="342"/>
      <c r="K1" s="342"/>
      <c r="L1" s="342"/>
      <c r="M1" s="342"/>
      <c r="N1" s="342"/>
    </row>
    <row r="3" spans="1:16" ht="30.75" customHeight="1">
      <c r="A3" s="359" t="s">
        <v>134</v>
      </c>
      <c r="B3" s="359"/>
      <c r="C3" s="359"/>
      <c r="D3" s="359"/>
      <c r="E3" s="359"/>
      <c r="F3" s="359"/>
      <c r="G3" s="359"/>
      <c r="H3" s="359"/>
      <c r="I3" s="359"/>
      <c r="K3" s="386" t="s">
        <v>135</v>
      </c>
      <c r="L3" s="386"/>
      <c r="N3" s="112" t="s">
        <v>464</v>
      </c>
    </row>
    <row r="5" spans="1:16" s="41" customFormat="1" ht="60">
      <c r="A5" s="38" t="s">
        <v>136</v>
      </c>
      <c r="B5" s="108" t="s">
        <v>137</v>
      </c>
      <c r="C5" s="38" t="s">
        <v>138</v>
      </c>
      <c r="D5" s="108" t="s">
        <v>462</v>
      </c>
      <c r="E5" s="39" t="s">
        <v>463</v>
      </c>
      <c r="F5" s="39" t="s">
        <v>139</v>
      </c>
      <c r="G5" s="39" t="s">
        <v>473</v>
      </c>
      <c r="H5" s="39" t="s">
        <v>474</v>
      </c>
      <c r="I5" s="40" t="s">
        <v>106</v>
      </c>
      <c r="K5" s="38" t="s">
        <v>140</v>
      </c>
      <c r="L5" s="42" t="s">
        <v>475</v>
      </c>
      <c r="N5" s="40" t="s">
        <v>117</v>
      </c>
      <c r="O5" s="37"/>
      <c r="P5" s="37"/>
    </row>
    <row r="6" spans="1:16" ht="15" customHeight="1">
      <c r="A6" s="387" t="s">
        <v>141</v>
      </c>
      <c r="B6" s="390" t="s">
        <v>498</v>
      </c>
      <c r="C6" s="95" t="s">
        <v>142</v>
      </c>
      <c r="D6" s="107">
        <v>1</v>
      </c>
      <c r="E6" s="97">
        <v>79762.080000000002</v>
      </c>
      <c r="F6" s="97">
        <v>38317.440000000002</v>
      </c>
      <c r="G6" s="97">
        <v>118079.52</v>
      </c>
      <c r="H6" s="346">
        <f>+(L6+L9)*0.22</f>
        <v>151582.20000000001</v>
      </c>
      <c r="I6" s="344">
        <f>SUM(G6:H10)</f>
        <v>502132.89941961988</v>
      </c>
      <c r="K6" s="352" t="s">
        <v>177</v>
      </c>
      <c r="L6" s="348">
        <f>57417.5*12</f>
        <v>689010</v>
      </c>
      <c r="N6" s="350">
        <f>+L6-I6</f>
        <v>186877.10058038012</v>
      </c>
    </row>
    <row r="7" spans="1:16" ht="15" customHeight="1">
      <c r="A7" s="388"/>
      <c r="B7" s="391"/>
      <c r="C7" s="54" t="s">
        <v>500</v>
      </c>
      <c r="D7" s="54">
        <v>0.5</v>
      </c>
      <c r="E7" s="98">
        <v>32800</v>
      </c>
      <c r="F7" s="98">
        <v>15757.011752953284</v>
      </c>
      <c r="G7" s="98">
        <v>48557.011752953287</v>
      </c>
      <c r="H7" s="347"/>
      <c r="I7" s="345"/>
      <c r="K7" s="353"/>
      <c r="L7" s="355"/>
      <c r="N7" s="365"/>
    </row>
    <row r="8" spans="1:16" ht="15" customHeight="1">
      <c r="A8" s="388"/>
      <c r="B8" s="391"/>
      <c r="C8" s="54" t="s">
        <v>501</v>
      </c>
      <c r="D8" s="54">
        <v>1.3</v>
      </c>
      <c r="E8" s="98">
        <f>28640.9717112671*1.3</f>
        <v>37233.263224647228</v>
      </c>
      <c r="F8" s="98">
        <f>13759.0282887329*1.3</f>
        <v>17886.736775352769</v>
      </c>
      <c r="G8" s="98">
        <f t="shared" ref="G8" si="0">SUM(E8:F8)</f>
        <v>55120</v>
      </c>
      <c r="H8" s="347"/>
      <c r="I8" s="345"/>
      <c r="K8" s="353"/>
      <c r="L8" s="355"/>
      <c r="N8" s="365"/>
    </row>
    <row r="9" spans="1:16" ht="15" customHeight="1">
      <c r="A9" s="388"/>
      <c r="B9" s="391"/>
      <c r="C9" s="54" t="s">
        <v>465</v>
      </c>
      <c r="D9" s="54">
        <v>1.3</v>
      </c>
      <c r="E9" s="98">
        <f>33148.4433333333*1.3</f>
        <v>43092.976333333288</v>
      </c>
      <c r="F9" s="98">
        <f>23817.3333333333*1.3</f>
        <v>30962.533333333289</v>
      </c>
      <c r="G9" s="98">
        <f>SUM(E9:F9)</f>
        <v>74055.509666666578</v>
      </c>
      <c r="H9" s="347"/>
      <c r="I9" s="345"/>
      <c r="K9" s="353"/>
      <c r="L9" s="355"/>
      <c r="N9" s="365"/>
    </row>
    <row r="10" spans="1:16" ht="15" customHeight="1">
      <c r="A10" s="389"/>
      <c r="B10" s="392"/>
      <c r="C10" s="54" t="s">
        <v>466</v>
      </c>
      <c r="D10" s="54">
        <v>1.3</v>
      </c>
      <c r="E10" s="98">
        <f>30385.33*1.3</f>
        <v>39500.929000000004</v>
      </c>
      <c r="F10" s="98">
        <f>11721.33*1.3</f>
        <v>15237.729000000001</v>
      </c>
      <c r="G10" s="102">
        <f>SUM(E10:F10)</f>
        <v>54738.658000000003</v>
      </c>
      <c r="H10" s="380"/>
      <c r="I10" s="356"/>
      <c r="K10" s="354"/>
      <c r="L10" s="349"/>
      <c r="N10" s="351"/>
    </row>
    <row r="11" spans="1:16" ht="15" customHeight="1">
      <c r="A11" s="343" t="s">
        <v>141</v>
      </c>
      <c r="B11" s="369" t="s">
        <v>499</v>
      </c>
      <c r="C11" s="45" t="s">
        <v>465</v>
      </c>
      <c r="D11" s="107">
        <v>3</v>
      </c>
      <c r="E11" s="46">
        <f>+E9*D11</f>
        <v>129278.92899999986</v>
      </c>
      <c r="F11" s="46">
        <f>+D11*F9</f>
        <v>92887.59999999986</v>
      </c>
      <c r="G11" s="97">
        <f>E11+F11</f>
        <v>222166.52899999972</v>
      </c>
      <c r="H11" s="346">
        <f>+(L11)*0.22</f>
        <v>193600</v>
      </c>
      <c r="I11" s="344">
        <f>SUM(G11:H12)</f>
        <v>457873.18899999978</v>
      </c>
      <c r="K11" s="352" t="s">
        <v>177</v>
      </c>
      <c r="L11" s="348">
        <f>220*4000</f>
        <v>880000</v>
      </c>
      <c r="N11" s="350">
        <f>+L11-I11</f>
        <v>422126.81100000022</v>
      </c>
    </row>
    <row r="12" spans="1:16" ht="15" customHeight="1">
      <c r="A12" s="343"/>
      <c r="B12" s="370"/>
      <c r="C12" s="54" t="s">
        <v>466</v>
      </c>
      <c r="D12" s="54">
        <v>1</v>
      </c>
      <c r="E12" s="98">
        <v>30385.33</v>
      </c>
      <c r="F12" s="98">
        <v>11721.33</v>
      </c>
      <c r="G12" s="98">
        <f>E12+F12</f>
        <v>42106.66</v>
      </c>
      <c r="H12" s="347"/>
      <c r="I12" s="345"/>
      <c r="K12" s="354"/>
      <c r="L12" s="349"/>
      <c r="N12" s="351"/>
    </row>
    <row r="13" spans="1:16" ht="15" customHeight="1">
      <c r="A13" s="343" t="s">
        <v>141</v>
      </c>
      <c r="B13" s="369" t="s">
        <v>496</v>
      </c>
      <c r="C13" s="159"/>
      <c r="D13" s="159"/>
      <c r="E13" s="160"/>
      <c r="F13" s="160"/>
      <c r="G13" s="161"/>
      <c r="H13" s="160"/>
      <c r="I13" s="162"/>
      <c r="K13" s="352" t="s">
        <v>497</v>
      </c>
      <c r="L13" s="348">
        <v>300000</v>
      </c>
      <c r="N13" s="350">
        <f t="shared" ref="N13" si="1">+L13-I13</f>
        <v>300000</v>
      </c>
    </row>
    <row r="14" spans="1:16" ht="15" customHeight="1">
      <c r="A14" s="343"/>
      <c r="B14" s="370"/>
      <c r="C14" s="163"/>
      <c r="D14" s="163"/>
      <c r="E14" s="164"/>
      <c r="F14" s="164"/>
      <c r="G14" s="165"/>
      <c r="H14" s="164"/>
      <c r="I14" s="166"/>
      <c r="K14" s="354"/>
      <c r="L14" s="349"/>
      <c r="N14" s="351"/>
    </row>
    <row r="15" spans="1:16" ht="15" customHeight="1">
      <c r="A15" s="343" t="s">
        <v>141</v>
      </c>
      <c r="B15" s="393" t="s">
        <v>502</v>
      </c>
      <c r="C15" s="159"/>
      <c r="D15" s="159"/>
      <c r="E15" s="160"/>
      <c r="F15" s="160"/>
      <c r="G15" s="161"/>
      <c r="H15" s="160"/>
      <c r="I15" s="162"/>
      <c r="K15" s="43"/>
      <c r="L15" s="348">
        <v>-164892</v>
      </c>
      <c r="N15" s="350">
        <f t="shared" ref="N15" si="2">+L15-I15</f>
        <v>-164892</v>
      </c>
    </row>
    <row r="16" spans="1:16" ht="15" customHeight="1">
      <c r="A16" s="343"/>
      <c r="B16" s="393"/>
      <c r="C16" s="163"/>
      <c r="D16" s="163"/>
      <c r="E16" s="164"/>
      <c r="F16" s="164"/>
      <c r="G16" s="165"/>
      <c r="H16" s="164"/>
      <c r="I16" s="166"/>
      <c r="K16" s="167"/>
      <c r="L16" s="349"/>
      <c r="N16" s="351"/>
    </row>
    <row r="17" spans="1:17" ht="15" customHeight="1">
      <c r="A17" s="343" t="s">
        <v>141</v>
      </c>
      <c r="B17" s="371" t="s">
        <v>503</v>
      </c>
      <c r="C17" s="155"/>
      <c r="D17" s="155"/>
      <c r="E17" s="156"/>
      <c r="F17" s="156"/>
      <c r="G17" s="157"/>
      <c r="H17" s="156"/>
      <c r="I17" s="158"/>
      <c r="K17" s="44"/>
      <c r="L17" s="348">
        <v>-135108</v>
      </c>
      <c r="N17" s="350">
        <f t="shared" ref="N17:N19" si="3">+L17-I17</f>
        <v>-135108</v>
      </c>
    </row>
    <row r="18" spans="1:17" ht="15" customHeight="1">
      <c r="A18" s="343"/>
      <c r="B18" s="370"/>
      <c r="C18" s="155"/>
      <c r="D18" s="155"/>
      <c r="E18" s="156"/>
      <c r="F18" s="156"/>
      <c r="G18" s="157"/>
      <c r="H18" s="156"/>
      <c r="I18" s="158"/>
      <c r="K18" s="44"/>
      <c r="L18" s="349"/>
      <c r="N18" s="351"/>
    </row>
    <row r="19" spans="1:17" ht="15" customHeight="1">
      <c r="A19" s="343" t="s">
        <v>141</v>
      </c>
      <c r="B19" s="369" t="s">
        <v>143</v>
      </c>
      <c r="C19" s="45" t="s">
        <v>465</v>
      </c>
      <c r="D19" s="107">
        <v>1</v>
      </c>
      <c r="E19" s="46">
        <v>24861.33</v>
      </c>
      <c r="F19" s="46">
        <v>14435.82</v>
      </c>
      <c r="G19" s="97">
        <f t="shared" ref="G19:G34" si="4">E19+F19</f>
        <v>39297.15</v>
      </c>
      <c r="H19" s="346">
        <f>SUM(G19:G20)*0.22</f>
        <v>11979.726000000001</v>
      </c>
      <c r="I19" s="344">
        <f>SUM(G19:H20)</f>
        <v>66433.026000000013</v>
      </c>
      <c r="K19" s="375" t="s">
        <v>144</v>
      </c>
      <c r="L19" s="357">
        <f>+I19+I20</f>
        <v>66433.026000000013</v>
      </c>
      <c r="N19" s="350">
        <f t="shared" si="3"/>
        <v>0</v>
      </c>
    </row>
    <row r="20" spans="1:17">
      <c r="A20" s="343"/>
      <c r="B20" s="370"/>
      <c r="C20" s="47" t="s">
        <v>145</v>
      </c>
      <c r="D20" s="47">
        <v>1</v>
      </c>
      <c r="E20" s="233">
        <v>9899.7900000000009</v>
      </c>
      <c r="F20" s="233">
        <v>5256.3600000000006</v>
      </c>
      <c r="G20" s="98">
        <f t="shared" si="4"/>
        <v>15156.150000000001</v>
      </c>
      <c r="H20" s="380"/>
      <c r="I20" s="356"/>
      <c r="K20" s="375"/>
      <c r="L20" s="358"/>
      <c r="N20" s="351"/>
    </row>
    <row r="21" spans="1:17">
      <c r="A21" s="385" t="s">
        <v>146</v>
      </c>
      <c r="B21" s="369" t="s">
        <v>147</v>
      </c>
      <c r="C21" s="107" t="s">
        <v>467</v>
      </c>
      <c r="D21" s="242">
        <v>0.2</v>
      </c>
      <c r="E21" s="338">
        <v>57000</v>
      </c>
      <c r="F21" s="339"/>
      <c r="G21" s="244">
        <f>+E21*D21</f>
        <v>11400</v>
      </c>
      <c r="H21" s="381">
        <f>SUM(G21:G27)*0.22</f>
        <v>28056.932199999999</v>
      </c>
      <c r="I21" s="366">
        <f>SUM(G21:H27)</f>
        <v>155588.44220000002</v>
      </c>
      <c r="K21" s="375" t="s">
        <v>144</v>
      </c>
      <c r="L21" s="357">
        <v>165000</v>
      </c>
      <c r="N21" s="366">
        <f>+L21-I21</f>
        <v>9411.5577999999805</v>
      </c>
    </row>
    <row r="22" spans="1:17">
      <c r="A22" s="385"/>
      <c r="B22" s="369"/>
      <c r="C22" s="54" t="s">
        <v>468</v>
      </c>
      <c r="D22" s="243">
        <v>0.2</v>
      </c>
      <c r="E22" s="340">
        <v>57000</v>
      </c>
      <c r="F22" s="341"/>
      <c r="G22" s="245">
        <f>+E22*D22</f>
        <v>11400</v>
      </c>
      <c r="H22" s="382"/>
      <c r="I22" s="367"/>
      <c r="K22" s="375"/>
      <c r="L22" s="377"/>
      <c r="N22" s="367"/>
      <c r="Q22" s="67"/>
    </row>
    <row r="23" spans="1:17">
      <c r="A23" s="385"/>
      <c r="B23" s="369"/>
      <c r="C23" s="54" t="s">
        <v>469</v>
      </c>
      <c r="D23" s="54">
        <v>0.1</v>
      </c>
      <c r="E23" s="55">
        <v>2811.96</v>
      </c>
      <c r="F23" s="55">
        <v>1394.4</v>
      </c>
      <c r="G23" s="55">
        <f t="shared" si="4"/>
        <v>4206.3600000000006</v>
      </c>
      <c r="H23" s="383"/>
      <c r="I23" s="367"/>
      <c r="K23" s="375"/>
      <c r="L23" s="377"/>
      <c r="N23" s="367"/>
      <c r="Q23" s="186"/>
    </row>
    <row r="24" spans="1:17">
      <c r="A24" s="385"/>
      <c r="B24" s="369"/>
      <c r="C24" s="54" t="s">
        <v>145</v>
      </c>
      <c r="D24" s="54">
        <v>0.4</v>
      </c>
      <c r="E24" s="55">
        <v>13836.14</v>
      </c>
      <c r="F24" s="55">
        <v>8386.36</v>
      </c>
      <c r="G24" s="55">
        <f t="shared" si="4"/>
        <v>22222.5</v>
      </c>
      <c r="H24" s="383"/>
      <c r="I24" s="367"/>
      <c r="K24" s="375"/>
      <c r="L24" s="377"/>
      <c r="N24" s="367"/>
      <c r="Q24" s="67"/>
    </row>
    <row r="25" spans="1:17">
      <c r="A25" s="385"/>
      <c r="B25" s="369"/>
      <c r="C25" s="54" t="s">
        <v>465</v>
      </c>
      <c r="D25" s="54">
        <v>1</v>
      </c>
      <c r="E25" s="55">
        <v>33315</v>
      </c>
      <c r="F25" s="55">
        <v>23817</v>
      </c>
      <c r="G25" s="55">
        <f t="shared" si="4"/>
        <v>57132</v>
      </c>
      <c r="H25" s="383"/>
      <c r="I25" s="367"/>
      <c r="K25" s="375"/>
      <c r="L25" s="377"/>
      <c r="N25" s="367"/>
    </row>
    <row r="26" spans="1:17">
      <c r="A26" s="385"/>
      <c r="B26" s="369"/>
      <c r="C26" s="54" t="s">
        <v>470</v>
      </c>
      <c r="D26" s="54">
        <v>0.2</v>
      </c>
      <c r="E26" s="55">
        <v>8167</v>
      </c>
      <c r="F26" s="55">
        <v>4582.45</v>
      </c>
      <c r="G26" s="55">
        <f t="shared" si="4"/>
        <v>12749.45</v>
      </c>
      <c r="H26" s="383"/>
      <c r="I26" s="367"/>
      <c r="K26" s="375"/>
      <c r="L26" s="377"/>
      <c r="N26" s="367"/>
    </row>
    <row r="27" spans="1:17">
      <c r="A27" s="385"/>
      <c r="B27" s="369"/>
      <c r="C27" s="47" t="s">
        <v>466</v>
      </c>
      <c r="D27" s="47">
        <v>0.2</v>
      </c>
      <c r="E27" s="48">
        <v>6077</v>
      </c>
      <c r="F27" s="48">
        <v>2344.1999999999998</v>
      </c>
      <c r="G27" s="48">
        <f t="shared" si="4"/>
        <v>8421.2000000000007</v>
      </c>
      <c r="H27" s="384"/>
      <c r="I27" s="368"/>
      <c r="K27" s="376"/>
      <c r="L27" s="358"/>
      <c r="N27" s="368"/>
    </row>
    <row r="28" spans="1:17">
      <c r="A28" s="343" t="s">
        <v>141</v>
      </c>
      <c r="B28" s="96" t="s">
        <v>148</v>
      </c>
      <c r="C28" s="49" t="s">
        <v>471</v>
      </c>
      <c r="D28" s="237">
        <v>1.5</v>
      </c>
      <c r="E28" s="50">
        <f>16361.22*3</f>
        <v>49083.659999999996</v>
      </c>
      <c r="F28" s="50">
        <f>5684.64*3</f>
        <v>17053.920000000002</v>
      </c>
      <c r="G28" s="50">
        <f t="shared" si="4"/>
        <v>66137.58</v>
      </c>
      <c r="H28" s="346">
        <f>0.22*L28</f>
        <v>0</v>
      </c>
      <c r="I28" s="344">
        <f>SUM(G28:H29)</f>
        <v>22045.86</v>
      </c>
      <c r="K28" s="168"/>
      <c r="L28" s="378"/>
      <c r="N28" s="344">
        <f>+L28-I28</f>
        <v>-22045.86</v>
      </c>
    </row>
    <row r="29" spans="1:17">
      <c r="A29" s="343"/>
      <c r="B29" s="47" t="s">
        <v>149</v>
      </c>
      <c r="C29" s="51" t="s">
        <v>471</v>
      </c>
      <c r="D29" s="51">
        <v>-1</v>
      </c>
      <c r="E29" s="52">
        <f>-16361.22*2</f>
        <v>-32722.44</v>
      </c>
      <c r="F29" s="52">
        <f>-5684.64*2</f>
        <v>-11369.28</v>
      </c>
      <c r="G29" s="52">
        <f t="shared" si="4"/>
        <v>-44091.72</v>
      </c>
      <c r="H29" s="380"/>
      <c r="I29" s="356"/>
      <c r="K29" s="169"/>
      <c r="L29" s="379"/>
      <c r="N29" s="356"/>
    </row>
    <row r="30" spans="1:17">
      <c r="A30" s="53" t="s">
        <v>141</v>
      </c>
      <c r="B30" s="107" t="s">
        <v>152</v>
      </c>
      <c r="C30" s="45" t="s">
        <v>151</v>
      </c>
      <c r="D30" s="107">
        <v>0.5</v>
      </c>
      <c r="E30" s="46">
        <v>14556.48</v>
      </c>
      <c r="F30" s="56">
        <v>5879.7600000000011</v>
      </c>
      <c r="G30" s="101">
        <f t="shared" si="4"/>
        <v>20436.240000000002</v>
      </c>
      <c r="H30" s="110">
        <f>0.22*L30</f>
        <v>0</v>
      </c>
      <c r="I30" s="111">
        <f t="shared" ref="I30:I31" si="5">SUM(G30:H30)</f>
        <v>20436.240000000002</v>
      </c>
      <c r="K30" s="59"/>
      <c r="L30" s="247"/>
      <c r="N30" s="111">
        <f t="shared" ref="N30:N31" si="6">+L30-I30</f>
        <v>-20436.240000000002</v>
      </c>
    </row>
    <row r="31" spans="1:17">
      <c r="A31" s="53" t="s">
        <v>141</v>
      </c>
      <c r="B31" s="107" t="s">
        <v>153</v>
      </c>
      <c r="C31" s="45" t="s">
        <v>154</v>
      </c>
      <c r="D31" s="107">
        <v>1</v>
      </c>
      <c r="E31" s="46">
        <v>38967.600000000006</v>
      </c>
      <c r="F31" s="55">
        <v>22041.839999999997</v>
      </c>
      <c r="G31" s="101">
        <f t="shared" si="4"/>
        <v>61009.440000000002</v>
      </c>
      <c r="H31" s="48">
        <f>0.22*L31</f>
        <v>0</v>
      </c>
      <c r="I31" s="111">
        <f t="shared" si="5"/>
        <v>61009.440000000002</v>
      </c>
      <c r="K31" s="169"/>
      <c r="L31" s="248"/>
      <c r="N31" s="111">
        <f t="shared" si="6"/>
        <v>-61009.440000000002</v>
      </c>
    </row>
    <row r="32" spans="1:17">
      <c r="A32" s="343" t="s">
        <v>141</v>
      </c>
      <c r="B32" s="96" t="s">
        <v>155</v>
      </c>
      <c r="C32" s="49" t="s">
        <v>465</v>
      </c>
      <c r="D32" s="237">
        <v>1</v>
      </c>
      <c r="E32" s="50">
        <v>33148.44</v>
      </c>
      <c r="F32" s="50">
        <v>19247.760000000002</v>
      </c>
      <c r="G32" s="50">
        <f t="shared" si="4"/>
        <v>52396.200000000004</v>
      </c>
      <c r="H32" s="346">
        <f>0.22*L32</f>
        <v>0</v>
      </c>
      <c r="I32" s="344">
        <f>SUM(G32:H33)</f>
        <v>0</v>
      </c>
      <c r="K32" s="168"/>
      <c r="L32" s="378"/>
      <c r="N32" s="344">
        <f>+L32-I32</f>
        <v>0</v>
      </c>
    </row>
    <row r="33" spans="1:14">
      <c r="A33" s="343"/>
      <c r="B33" s="47" t="s">
        <v>156</v>
      </c>
      <c r="C33" s="58" t="s">
        <v>465</v>
      </c>
      <c r="D33" s="235">
        <v>-1</v>
      </c>
      <c r="E33" s="52">
        <v>-33148.44</v>
      </c>
      <c r="F33" s="52">
        <v>-19247.760000000002</v>
      </c>
      <c r="G33" s="52">
        <f t="shared" si="4"/>
        <v>-52396.200000000004</v>
      </c>
      <c r="H33" s="380"/>
      <c r="I33" s="356"/>
      <c r="K33" s="169"/>
      <c r="L33" s="379"/>
      <c r="N33" s="356"/>
    </row>
    <row r="34" spans="1:14">
      <c r="A34" s="104" t="s">
        <v>141</v>
      </c>
      <c r="B34" s="231" t="s">
        <v>163</v>
      </c>
      <c r="C34" s="43"/>
      <c r="D34" s="234"/>
      <c r="E34" s="43"/>
      <c r="F34" s="43"/>
      <c r="G34" s="101">
        <f t="shared" si="4"/>
        <v>0</v>
      </c>
      <c r="H34" s="103">
        <v>3000</v>
      </c>
      <c r="I34" s="109">
        <f>SUM(G34:H34)</f>
        <v>3000</v>
      </c>
      <c r="K34" s="57" t="s">
        <v>164</v>
      </c>
      <c r="L34" s="249">
        <v>33600</v>
      </c>
      <c r="N34" s="111">
        <f>+L34-I34</f>
        <v>30600</v>
      </c>
    </row>
    <row r="35" spans="1:14">
      <c r="A35" s="352" t="s">
        <v>582</v>
      </c>
      <c r="B35" s="394" t="s">
        <v>584</v>
      </c>
      <c r="C35" s="239" t="s">
        <v>142</v>
      </c>
      <c r="D35" s="252">
        <v>0.44999999999999996</v>
      </c>
      <c r="E35" s="397">
        <v>57000</v>
      </c>
      <c r="F35" s="398"/>
      <c r="G35" s="97">
        <f>+D35*E35</f>
        <v>25649.999999999996</v>
      </c>
      <c r="H35" s="399">
        <f>+L35*22%</f>
        <v>103488</v>
      </c>
      <c r="I35" s="402">
        <f>+G35+G36+G37+G38+G39+G40+G41+G42+H35</f>
        <v>243850.5</v>
      </c>
      <c r="K35" s="405" t="s">
        <v>583</v>
      </c>
      <c r="L35" s="348">
        <v>470400</v>
      </c>
      <c r="N35" s="408">
        <f>+L35-I35</f>
        <v>226549.5</v>
      </c>
    </row>
    <row r="36" spans="1:14">
      <c r="A36" s="353"/>
      <c r="B36" s="395"/>
      <c r="C36" s="240" t="s">
        <v>578</v>
      </c>
      <c r="D36" s="253">
        <v>0.30000000000000004</v>
      </c>
      <c r="E36" s="397">
        <v>57000</v>
      </c>
      <c r="F36" s="398"/>
      <c r="G36" s="98">
        <f t="shared" ref="G36:G42" si="7">+D36*E36</f>
        <v>17100.000000000004</v>
      </c>
      <c r="H36" s="400"/>
      <c r="I36" s="403"/>
      <c r="K36" s="406"/>
      <c r="L36" s="355"/>
      <c r="N36" s="409"/>
    </row>
    <row r="37" spans="1:14">
      <c r="A37" s="353"/>
      <c r="B37" s="395"/>
      <c r="C37" s="240" t="s">
        <v>579</v>
      </c>
      <c r="D37" s="253">
        <v>0.42500000000000004</v>
      </c>
      <c r="E37" s="397">
        <v>57000</v>
      </c>
      <c r="F37" s="398"/>
      <c r="G37" s="98">
        <f t="shared" si="7"/>
        <v>24225.000000000004</v>
      </c>
      <c r="H37" s="400"/>
      <c r="I37" s="403"/>
      <c r="K37" s="406"/>
      <c r="L37" s="355"/>
      <c r="N37" s="409"/>
    </row>
    <row r="38" spans="1:14">
      <c r="A38" s="353"/>
      <c r="B38" s="395"/>
      <c r="C38" s="240" t="s">
        <v>145</v>
      </c>
      <c r="D38" s="253">
        <v>0.48750000000000004</v>
      </c>
      <c r="E38" s="397">
        <v>57000</v>
      </c>
      <c r="F38" s="398"/>
      <c r="G38" s="98">
        <f t="shared" si="7"/>
        <v>27787.500000000004</v>
      </c>
      <c r="H38" s="400"/>
      <c r="I38" s="403"/>
      <c r="K38" s="406"/>
      <c r="L38" s="355"/>
      <c r="N38" s="409"/>
    </row>
    <row r="39" spans="1:14">
      <c r="A39" s="353"/>
      <c r="B39" s="395"/>
      <c r="C39" s="240" t="s">
        <v>580</v>
      </c>
      <c r="D39" s="253">
        <v>0.19999999999999998</v>
      </c>
      <c r="E39" s="397">
        <v>57000</v>
      </c>
      <c r="F39" s="398"/>
      <c r="G39" s="98">
        <f>+D39*E39</f>
        <v>11399.999999999998</v>
      </c>
      <c r="H39" s="400"/>
      <c r="I39" s="403"/>
      <c r="K39" s="406"/>
      <c r="L39" s="355"/>
      <c r="N39" s="409"/>
    </row>
    <row r="40" spans="1:14">
      <c r="A40" s="353"/>
      <c r="B40" s="395"/>
      <c r="C40" s="240" t="s">
        <v>465</v>
      </c>
      <c r="D40" s="253">
        <v>0.15000000000000002</v>
      </c>
      <c r="E40" s="397">
        <v>57000</v>
      </c>
      <c r="F40" s="398"/>
      <c r="G40" s="98">
        <f t="shared" si="7"/>
        <v>8550.0000000000018</v>
      </c>
      <c r="H40" s="400"/>
      <c r="I40" s="403"/>
      <c r="K40" s="406"/>
      <c r="L40" s="355"/>
      <c r="N40" s="409"/>
    </row>
    <row r="41" spans="1:14">
      <c r="A41" s="353"/>
      <c r="B41" s="395"/>
      <c r="C41" s="240" t="s">
        <v>581</v>
      </c>
      <c r="D41" s="253">
        <v>0.30000000000000004</v>
      </c>
      <c r="E41" s="397">
        <v>57000</v>
      </c>
      <c r="F41" s="398"/>
      <c r="G41" s="98">
        <f t="shared" si="7"/>
        <v>17100.000000000004</v>
      </c>
      <c r="H41" s="400"/>
      <c r="I41" s="403"/>
      <c r="K41" s="406"/>
      <c r="L41" s="355"/>
      <c r="N41" s="409"/>
    </row>
    <row r="42" spans="1:14">
      <c r="A42" s="354"/>
      <c r="B42" s="396"/>
      <c r="C42" s="241" t="s">
        <v>471</v>
      </c>
      <c r="D42" s="254">
        <v>0.15000000000000002</v>
      </c>
      <c r="E42" s="397">
        <v>57000</v>
      </c>
      <c r="F42" s="398"/>
      <c r="G42" s="102">
        <f t="shared" si="7"/>
        <v>8550.0000000000018</v>
      </c>
      <c r="H42" s="401"/>
      <c r="I42" s="404"/>
      <c r="K42" s="407"/>
      <c r="L42" s="349"/>
      <c r="N42" s="410"/>
    </row>
    <row r="43" spans="1:14">
      <c r="A43" s="360" t="s">
        <v>476</v>
      </c>
      <c r="B43" s="361"/>
      <c r="C43" s="362"/>
      <c r="D43" s="363"/>
      <c r="E43" s="144">
        <f>SUM(E6:E42)</f>
        <v>1130907.0275579805</v>
      </c>
      <c r="F43" s="144">
        <f t="shared" ref="F43:H43" si="8">SUM(F6:F42)</f>
        <v>316593.21086163924</v>
      </c>
      <c r="G43" s="144">
        <f>SUM(G6:G42)</f>
        <v>1040662.7384196196</v>
      </c>
      <c r="H43" s="144">
        <f t="shared" si="8"/>
        <v>491706.85820000002</v>
      </c>
      <c r="I43" s="144">
        <f>SUM(I6:I42)</f>
        <v>1532369.5966196198</v>
      </c>
      <c r="K43" s="146" t="s">
        <v>476</v>
      </c>
      <c r="L43" s="147">
        <f>SUM(L6:L42)</f>
        <v>2304443.0260000001</v>
      </c>
      <c r="N43" s="151">
        <f>SUM(N6:N42)</f>
        <v>772073.42938038032</v>
      </c>
    </row>
    <row r="44" spans="1:14">
      <c r="I44" s="246"/>
      <c r="L44" s="246"/>
    </row>
    <row r="45" spans="1:14">
      <c r="A45" s="100" t="s">
        <v>141</v>
      </c>
      <c r="B45" s="99" t="s">
        <v>150</v>
      </c>
      <c r="C45" s="99" t="s">
        <v>151</v>
      </c>
      <c r="D45" s="238">
        <v>0.5</v>
      </c>
      <c r="E45" s="56">
        <v>14556.48</v>
      </c>
      <c r="F45" s="56">
        <v>5879.7600000000011</v>
      </c>
      <c r="G45" s="63">
        <f>E45+F45</f>
        <v>20436.240000000002</v>
      </c>
      <c r="H45" s="110">
        <f>0.22*L45</f>
        <v>0</v>
      </c>
      <c r="I45" s="111">
        <f>SUM(G45:H45)</f>
        <v>20436.240000000002</v>
      </c>
      <c r="K45" s="168"/>
      <c r="L45" s="247"/>
      <c r="N45" s="111">
        <f>+L45-I45</f>
        <v>-20436.240000000002</v>
      </c>
    </row>
    <row r="46" spans="1:14">
      <c r="A46" s="172" t="s">
        <v>132</v>
      </c>
      <c r="B46" s="175" t="s">
        <v>150</v>
      </c>
      <c r="C46" s="175" t="s">
        <v>575</v>
      </c>
      <c r="D46" s="238">
        <v>1</v>
      </c>
      <c r="E46" s="56">
        <v>33691.202686991339</v>
      </c>
      <c r="F46" s="56">
        <v>13608.797313008658</v>
      </c>
      <c r="G46" s="63">
        <v>47300</v>
      </c>
      <c r="H46" s="110">
        <v>110500</v>
      </c>
      <c r="I46" s="111">
        <f>+H46+G46</f>
        <v>157800</v>
      </c>
      <c r="K46" s="62" t="s">
        <v>523</v>
      </c>
      <c r="L46" s="250">
        <f>+I46</f>
        <v>157800</v>
      </c>
      <c r="N46" s="111">
        <f>+L46-I46</f>
        <v>0</v>
      </c>
    </row>
    <row r="47" spans="1:14" ht="30.6" customHeight="1">
      <c r="A47" s="364" t="s">
        <v>477</v>
      </c>
      <c r="B47" s="364"/>
      <c r="C47" s="364"/>
      <c r="D47" s="364"/>
      <c r="E47" s="143">
        <f>SUM(E45:E46)</f>
        <v>48247.682686991335</v>
      </c>
      <c r="F47" s="143">
        <f t="shared" ref="F47:I47" si="9">SUM(F45:F46)</f>
        <v>19488.55731300866</v>
      </c>
      <c r="G47" s="143">
        <f t="shared" si="9"/>
        <v>67736.240000000005</v>
      </c>
      <c r="H47" s="143">
        <f t="shared" si="9"/>
        <v>110500</v>
      </c>
      <c r="I47" s="143">
        <f t="shared" si="9"/>
        <v>178236.24</v>
      </c>
      <c r="K47" s="188" t="s">
        <v>480</v>
      </c>
      <c r="L47" s="148">
        <f>+L46+L45</f>
        <v>157800</v>
      </c>
      <c r="N47" s="187">
        <f>+N45</f>
        <v>-20436.240000000002</v>
      </c>
    </row>
    <row r="48" spans="1:14">
      <c r="I48" s="246"/>
      <c r="L48" s="246"/>
    </row>
    <row r="49" spans="1:14">
      <c r="A49" s="53" t="s">
        <v>132</v>
      </c>
      <c r="B49" s="45" t="s">
        <v>132</v>
      </c>
      <c r="C49" s="107" t="s">
        <v>157</v>
      </c>
      <c r="D49" s="107">
        <v>1</v>
      </c>
      <c r="E49" s="46">
        <v>25197.840000000004</v>
      </c>
      <c r="F49" s="56">
        <v>10723.68</v>
      </c>
      <c r="G49" s="101">
        <f>E49+F49</f>
        <v>35921.520000000004</v>
      </c>
      <c r="H49" s="56">
        <f>0.22*L49</f>
        <v>0</v>
      </c>
      <c r="I49" s="111">
        <f t="shared" ref="I49:I54" si="10">SUM(G49:H49)</f>
        <v>35921.520000000004</v>
      </c>
      <c r="K49" s="59"/>
      <c r="L49" s="251"/>
      <c r="N49" s="111">
        <f t="shared" ref="N49:N54" si="11">+L49-I49</f>
        <v>-35921.520000000004</v>
      </c>
    </row>
    <row r="50" spans="1:14">
      <c r="A50" s="53" t="s">
        <v>158</v>
      </c>
      <c r="B50" s="45" t="s">
        <v>158</v>
      </c>
      <c r="C50" s="107" t="s">
        <v>159</v>
      </c>
      <c r="D50" s="107">
        <v>1</v>
      </c>
      <c r="E50" s="46">
        <v>48630.36</v>
      </c>
      <c r="F50" s="56">
        <v>16824.599999999999</v>
      </c>
      <c r="G50" s="101">
        <f>E50+F50</f>
        <v>65454.96</v>
      </c>
      <c r="H50" s="48">
        <f>0.22*L50</f>
        <v>8640.0547199999983</v>
      </c>
      <c r="I50" s="111">
        <f t="shared" si="10"/>
        <v>74095.014719999992</v>
      </c>
      <c r="K50" s="62" t="s">
        <v>472</v>
      </c>
      <c r="L50" s="250">
        <f>0.6*G50</f>
        <v>39272.975999999995</v>
      </c>
      <c r="N50" s="111">
        <f t="shared" si="11"/>
        <v>-34822.038719999997</v>
      </c>
    </row>
    <row r="51" spans="1:14">
      <c r="A51" s="53" t="s">
        <v>160</v>
      </c>
      <c r="B51" s="60" t="s">
        <v>161</v>
      </c>
      <c r="C51" s="238" t="s">
        <v>162</v>
      </c>
      <c r="D51" s="238">
        <v>1</v>
      </c>
      <c r="E51" s="56">
        <v>9600</v>
      </c>
      <c r="F51" s="48"/>
      <c r="G51" s="101">
        <f>E51+F51</f>
        <v>9600</v>
      </c>
      <c r="H51" s="48">
        <f>0.22*L51</f>
        <v>0</v>
      </c>
      <c r="I51" s="111">
        <f t="shared" si="10"/>
        <v>9600</v>
      </c>
      <c r="K51" s="59"/>
      <c r="L51" s="251"/>
      <c r="N51" s="111">
        <f t="shared" si="11"/>
        <v>-9600</v>
      </c>
    </row>
    <row r="52" spans="1:14">
      <c r="A52" s="53" t="s">
        <v>165</v>
      </c>
      <c r="B52" s="105" t="s">
        <v>166</v>
      </c>
      <c r="C52" s="232"/>
      <c r="D52" s="232"/>
      <c r="E52" s="57"/>
      <c r="F52" s="57"/>
      <c r="G52" s="101">
        <f>E52+F52</f>
        <v>0</v>
      </c>
      <c r="H52" s="48">
        <v>80000</v>
      </c>
      <c r="I52" s="111">
        <f t="shared" si="10"/>
        <v>80000</v>
      </c>
      <c r="K52" s="59"/>
      <c r="L52" s="251"/>
      <c r="N52" s="111">
        <f t="shared" si="11"/>
        <v>-80000</v>
      </c>
    </row>
    <row r="53" spans="1:14">
      <c r="A53" s="61" t="s">
        <v>165</v>
      </c>
      <c r="B53" s="106" t="s">
        <v>167</v>
      </c>
      <c r="C53" s="236"/>
      <c r="D53" s="236"/>
      <c r="E53" s="62"/>
      <c r="F53" s="62"/>
      <c r="G53" s="101">
        <f>E53+F53</f>
        <v>0</v>
      </c>
      <c r="H53" s="48">
        <v>35000</v>
      </c>
      <c r="I53" s="111">
        <f t="shared" si="10"/>
        <v>35000</v>
      </c>
      <c r="K53" s="59"/>
      <c r="L53" s="251"/>
      <c r="N53" s="111">
        <f t="shared" si="11"/>
        <v>-35000</v>
      </c>
    </row>
    <row r="54" spans="1:14">
      <c r="A54" s="66" t="s">
        <v>158</v>
      </c>
      <c r="B54" s="174" t="s">
        <v>576</v>
      </c>
      <c r="C54" s="236" t="s">
        <v>577</v>
      </c>
      <c r="D54" s="236"/>
      <c r="E54" s="62"/>
      <c r="F54" s="62"/>
      <c r="G54" s="101"/>
      <c r="H54" s="173">
        <v>42500</v>
      </c>
      <c r="I54" s="111">
        <f t="shared" si="10"/>
        <v>42500</v>
      </c>
      <c r="K54" s="190" t="s">
        <v>525</v>
      </c>
      <c r="L54" s="250">
        <f>35000+50000</f>
        <v>85000</v>
      </c>
      <c r="N54" s="111">
        <f t="shared" si="11"/>
        <v>42500</v>
      </c>
    </row>
    <row r="55" spans="1:14" ht="15" customHeight="1">
      <c r="A55" s="364" t="s">
        <v>478</v>
      </c>
      <c r="B55" s="364"/>
      <c r="C55" s="364"/>
      <c r="D55" s="364"/>
      <c r="E55" s="143">
        <f>SUM(E49:E54)</f>
        <v>83428.200000000012</v>
      </c>
      <c r="F55" s="143">
        <f t="shared" ref="F55:I55" si="12">SUM(F49:F54)</f>
        <v>27548.28</v>
      </c>
      <c r="G55" s="143">
        <f t="shared" si="12"/>
        <v>110976.48000000001</v>
      </c>
      <c r="H55" s="143">
        <f t="shared" si="12"/>
        <v>166140.05472000001</v>
      </c>
      <c r="I55" s="143">
        <f t="shared" si="12"/>
        <v>277116.53472</v>
      </c>
      <c r="K55" s="146" t="s">
        <v>479</v>
      </c>
      <c r="L55" s="147">
        <f>SUM(L50:L54)</f>
        <v>124272.976</v>
      </c>
      <c r="N55" s="151">
        <f>SUM(N49:N54)</f>
        <v>-152843.55872</v>
      </c>
    </row>
    <row r="56" spans="1:14">
      <c r="I56" s="246"/>
      <c r="L56" s="246"/>
    </row>
    <row r="57" spans="1:14" ht="25.5" customHeight="1">
      <c r="A57" s="372" t="s">
        <v>168</v>
      </c>
      <c r="B57" s="373"/>
      <c r="C57" s="373"/>
      <c r="D57" s="374"/>
      <c r="E57" s="145">
        <f>+E55+E47+E43</f>
        <v>1262582.910244972</v>
      </c>
      <c r="F57" s="145">
        <f>+F55+F47+F43</f>
        <v>363630.04817464791</v>
      </c>
      <c r="G57" s="145">
        <f>+G55+G47+G43</f>
        <v>1219375.4584196196</v>
      </c>
      <c r="H57" s="145">
        <f>+H55+H47+H43</f>
        <v>768346.91292000003</v>
      </c>
      <c r="I57" s="145">
        <f>+I55+I47+I43</f>
        <v>1987722.3713396196</v>
      </c>
      <c r="K57" s="149" t="s">
        <v>169</v>
      </c>
      <c r="L57" s="150">
        <f>+L55+L47+L43</f>
        <v>2586516.0020000003</v>
      </c>
      <c r="N57" s="152">
        <f>+N55+N47+N43</f>
        <v>598793.63066038035</v>
      </c>
    </row>
    <row r="58" spans="1:14">
      <c r="L58" s="113"/>
    </row>
    <row r="59" spans="1:14">
      <c r="N59" s="255"/>
    </row>
    <row r="60" spans="1:14">
      <c r="H60" s="37" t="s">
        <v>170</v>
      </c>
      <c r="I60" s="67">
        <f>+G57</f>
        <v>1219375.4584196196</v>
      </c>
      <c r="K60" s="37" t="s">
        <v>173</v>
      </c>
      <c r="L60" s="67">
        <f>+L6+L9+L11+L19+L21+L34+L35</f>
        <v>2304443.0260000001</v>
      </c>
      <c r="N60" s="256"/>
    </row>
    <row r="61" spans="1:14">
      <c r="H61" s="37" t="s">
        <v>171</v>
      </c>
      <c r="I61" s="67">
        <f>+I34</f>
        <v>3000</v>
      </c>
      <c r="K61" s="37" t="s">
        <v>174</v>
      </c>
      <c r="L61" s="67"/>
      <c r="N61" s="256"/>
    </row>
    <row r="62" spans="1:14">
      <c r="H62" s="37" t="s">
        <v>172</v>
      </c>
      <c r="I62" s="67">
        <f>+H57-3000</f>
        <v>765346.91292000003</v>
      </c>
      <c r="K62" s="37" t="s">
        <v>175</v>
      </c>
      <c r="L62" s="67">
        <f>+L50+L46+L54</f>
        <v>282072.97600000002</v>
      </c>
      <c r="N62" s="256"/>
    </row>
    <row r="63" spans="1:14">
      <c r="L63" s="67"/>
    </row>
    <row r="64" spans="1:14">
      <c r="I64" s="64">
        <f>SUM(I60:I63)</f>
        <v>1987722.3713396196</v>
      </c>
      <c r="L64" s="65">
        <f>SUM(L60:L63)</f>
        <v>2586516.0020000003</v>
      </c>
      <c r="N64" s="114"/>
    </row>
    <row r="66" spans="5:9">
      <c r="I66" s="67">
        <f>+I64-320000-380000</f>
        <v>1287722.3713396196</v>
      </c>
    </row>
    <row r="68" spans="5:9">
      <c r="E68" s="186"/>
      <c r="F68" s="186"/>
    </row>
    <row r="70" spans="5:9">
      <c r="I70" s="67"/>
    </row>
    <row r="71" spans="5:9">
      <c r="I71" s="113"/>
    </row>
  </sheetData>
  <mergeCells count="75">
    <mergeCell ref="H35:H42"/>
    <mergeCell ref="I35:I42"/>
    <mergeCell ref="K35:K42"/>
    <mergeCell ref="L35:L42"/>
    <mergeCell ref="N35:N42"/>
    <mergeCell ref="A35:A42"/>
    <mergeCell ref="B35:B42"/>
    <mergeCell ref="E35:F35"/>
    <mergeCell ref="E36:F36"/>
    <mergeCell ref="E37:F37"/>
    <mergeCell ref="E38:F38"/>
    <mergeCell ref="E39:F39"/>
    <mergeCell ref="E40:F40"/>
    <mergeCell ref="E41:F41"/>
    <mergeCell ref="E42:F42"/>
    <mergeCell ref="K3:L3"/>
    <mergeCell ref="A11:A12"/>
    <mergeCell ref="B11:B12"/>
    <mergeCell ref="A19:A20"/>
    <mergeCell ref="B19:B20"/>
    <mergeCell ref="K19:K20"/>
    <mergeCell ref="A6:A10"/>
    <mergeCell ref="B6:B10"/>
    <mergeCell ref="H6:H10"/>
    <mergeCell ref="I6:I10"/>
    <mergeCell ref="H19:H20"/>
    <mergeCell ref="B15:B16"/>
    <mergeCell ref="A55:D55"/>
    <mergeCell ref="A57:D57"/>
    <mergeCell ref="K21:K27"/>
    <mergeCell ref="L21:L27"/>
    <mergeCell ref="A28:A29"/>
    <mergeCell ref="I28:I29"/>
    <mergeCell ref="A32:A33"/>
    <mergeCell ref="I32:I33"/>
    <mergeCell ref="L28:L29"/>
    <mergeCell ref="H32:H33"/>
    <mergeCell ref="L32:L33"/>
    <mergeCell ref="H28:H29"/>
    <mergeCell ref="H21:H27"/>
    <mergeCell ref="I21:I27"/>
    <mergeCell ref="A21:A27"/>
    <mergeCell ref="B21:B27"/>
    <mergeCell ref="A43:D43"/>
    <mergeCell ref="A47:D47"/>
    <mergeCell ref="N6:N10"/>
    <mergeCell ref="N21:N27"/>
    <mergeCell ref="N32:N33"/>
    <mergeCell ref="N11:N12"/>
    <mergeCell ref="N19:N20"/>
    <mergeCell ref="N28:N29"/>
    <mergeCell ref="A13:A14"/>
    <mergeCell ref="B13:B14"/>
    <mergeCell ref="L13:L14"/>
    <mergeCell ref="K11:K12"/>
    <mergeCell ref="L11:L12"/>
    <mergeCell ref="A17:A18"/>
    <mergeCell ref="B17:B18"/>
    <mergeCell ref="L17:L18"/>
    <mergeCell ref="E21:F21"/>
    <mergeCell ref="E22:F22"/>
    <mergeCell ref="A1:N1"/>
    <mergeCell ref="A15:A16"/>
    <mergeCell ref="I11:I12"/>
    <mergeCell ref="H11:H12"/>
    <mergeCell ref="L15:L16"/>
    <mergeCell ref="N15:N16"/>
    <mergeCell ref="N17:N18"/>
    <mergeCell ref="N13:N14"/>
    <mergeCell ref="K6:K10"/>
    <mergeCell ref="L6:L10"/>
    <mergeCell ref="K13:K14"/>
    <mergeCell ref="I19:I20"/>
    <mergeCell ref="L19:L20"/>
    <mergeCell ref="A3:I3"/>
  </mergeCells>
  <printOptions horizontalCentered="1"/>
  <pageMargins left="0.23622047244094491" right="0.23622047244094491" top="0.74803149606299213" bottom="0.74803149606299213" header="0.31496062992125984" footer="0.31496062992125984"/>
  <pageSetup paperSize="8" scale="69" orientation="landscape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A3500E-89CB-4EA1-8A2F-500AFD3D68F0}">
  <sheetPr>
    <tabColor theme="7" tint="0.39997558519241921"/>
  </sheetPr>
  <dimension ref="A1"/>
  <sheetViews>
    <sheetView workbookViewId="0">
      <selection activeCell="M25" sqref="M25"/>
    </sheetView>
  </sheetViews>
  <sheetFormatPr baseColWidth="10" defaultRowHeight="15"/>
  <sheetData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FBCF32-76BA-48B9-98E6-629FBECAC6D1}">
  <dimension ref="A3:H24"/>
  <sheetViews>
    <sheetView workbookViewId="0">
      <selection activeCell="J12" sqref="J12"/>
    </sheetView>
  </sheetViews>
  <sheetFormatPr baseColWidth="10" defaultRowHeight="15"/>
  <cols>
    <col min="1" max="1" width="66.85546875" bestFit="1" customWidth="1"/>
    <col min="2" max="2" width="15.42578125" bestFit="1" customWidth="1"/>
    <col min="3" max="3" width="14.28515625" bestFit="1" customWidth="1"/>
    <col min="4" max="4" width="14" bestFit="1" customWidth="1"/>
    <col min="5" max="5" width="14" customWidth="1"/>
    <col min="6" max="6" width="15.28515625" bestFit="1" customWidth="1"/>
    <col min="8" max="8" width="11.7109375" bestFit="1" customWidth="1"/>
  </cols>
  <sheetData>
    <row r="3" spans="1:8">
      <c r="A3" s="128" t="s">
        <v>87</v>
      </c>
      <c r="B3" s="129" t="s">
        <v>0</v>
      </c>
      <c r="C3" s="129" t="s">
        <v>55</v>
      </c>
      <c r="D3" s="130" t="s">
        <v>451</v>
      </c>
      <c r="E3" s="131" t="s">
        <v>461</v>
      </c>
      <c r="F3" s="132" t="s">
        <v>86</v>
      </c>
    </row>
    <row r="4" spans="1:8">
      <c r="A4" s="124" t="s">
        <v>84</v>
      </c>
      <c r="B4" s="125">
        <v>8524803.8000000007</v>
      </c>
      <c r="C4" s="125">
        <v>8386781.620000001</v>
      </c>
      <c r="D4" s="125">
        <v>8200507.9199999999</v>
      </c>
      <c r="E4" s="126">
        <v>776592</v>
      </c>
      <c r="F4" s="127">
        <f>+D4+E4</f>
        <v>8977099.9199999999</v>
      </c>
    </row>
    <row r="5" spans="1:8">
      <c r="A5" s="115" t="s">
        <v>452</v>
      </c>
      <c r="B5" s="21">
        <v>904320.81</v>
      </c>
      <c r="C5" s="21">
        <v>836583.3600000001</v>
      </c>
      <c r="D5" s="21">
        <v>896880.59</v>
      </c>
      <c r="E5" s="94">
        <v>95574</v>
      </c>
      <c r="F5" s="116">
        <f>+D5+E5</f>
        <v>992454.59</v>
      </c>
    </row>
    <row r="6" spans="1:8">
      <c r="A6" s="135" t="s">
        <v>453</v>
      </c>
      <c r="B6" s="136">
        <v>3277460.14</v>
      </c>
      <c r="C6" s="136">
        <v>3306119.13</v>
      </c>
      <c r="D6" s="136">
        <v>3350527.16</v>
      </c>
      <c r="E6" s="137">
        <v>391186</v>
      </c>
      <c r="F6" s="138">
        <f>+D6+E6</f>
        <v>3741713.16</v>
      </c>
    </row>
    <row r="7" spans="1:8" s="1" customFormat="1">
      <c r="A7" s="142" t="s">
        <v>121</v>
      </c>
      <c r="B7" s="139">
        <f>SUM(B4:B6)</f>
        <v>12706584.750000002</v>
      </c>
      <c r="C7" s="139">
        <f>SUM(C4:C6)</f>
        <v>12529484.109999999</v>
      </c>
      <c r="D7" s="140">
        <f>SUM(D4:D6)</f>
        <v>12447915.67</v>
      </c>
      <c r="E7" s="140">
        <f>SUM(E4:E6)</f>
        <v>1263352</v>
      </c>
      <c r="F7" s="141">
        <f>+D7+E7</f>
        <v>13711267.67</v>
      </c>
    </row>
    <row r="12" spans="1:8">
      <c r="A12" s="128" t="s">
        <v>115</v>
      </c>
      <c r="B12" s="129" t="s">
        <v>0</v>
      </c>
      <c r="C12" s="129" t="s">
        <v>55</v>
      </c>
      <c r="D12" s="130" t="s">
        <v>451</v>
      </c>
      <c r="E12" s="131" t="s">
        <v>461</v>
      </c>
      <c r="F12" s="132" t="s">
        <v>86</v>
      </c>
    </row>
    <row r="13" spans="1:8">
      <c r="A13" s="124" t="s">
        <v>454</v>
      </c>
      <c r="B13" s="133">
        <v>12324866.67</v>
      </c>
      <c r="C13" s="133">
        <v>12428608.359999999</v>
      </c>
      <c r="D13" s="133">
        <v>12325182.34</v>
      </c>
      <c r="E13" s="134">
        <v>1445119.3</v>
      </c>
      <c r="F13" s="122">
        <f>+D13+E13</f>
        <v>13770301.640000001</v>
      </c>
    </row>
    <row r="14" spans="1:8">
      <c r="A14" s="117" t="s">
        <v>457</v>
      </c>
      <c r="B14" s="21">
        <v>6207849.8600000003</v>
      </c>
      <c r="C14" s="21">
        <v>6407362.3799999999</v>
      </c>
      <c r="D14" s="21">
        <v>6378117.3799999999</v>
      </c>
      <c r="E14" s="94"/>
      <c r="F14" s="116">
        <f>+D14+E14</f>
        <v>6378117.3799999999</v>
      </c>
      <c r="H14" s="35"/>
    </row>
    <row r="15" spans="1:8">
      <c r="A15" s="117" t="s">
        <v>458</v>
      </c>
      <c r="B15" s="21">
        <f>2580183.26+1894689.07+63316.28</f>
        <v>4538188.6100000003</v>
      </c>
      <c r="C15" s="21">
        <v>4373479.6500000004</v>
      </c>
      <c r="D15" s="21">
        <v>4526977.71</v>
      </c>
      <c r="E15" s="94"/>
      <c r="F15" s="116"/>
    </row>
    <row r="16" spans="1:8">
      <c r="A16" s="117" t="s">
        <v>459</v>
      </c>
      <c r="B16" s="21">
        <v>1578828.1999999993</v>
      </c>
      <c r="C16" s="21">
        <v>1647766.33</v>
      </c>
      <c r="D16" s="21">
        <v>1420087.25</v>
      </c>
      <c r="E16" s="94"/>
      <c r="F16" s="116"/>
    </row>
    <row r="17" spans="1:6">
      <c r="A17" s="115" t="s">
        <v>455</v>
      </c>
      <c r="B17" s="93">
        <v>20704.349999999999</v>
      </c>
      <c r="C17" s="21">
        <v>20297.12</v>
      </c>
      <c r="D17" s="21">
        <v>62500</v>
      </c>
      <c r="E17" s="94"/>
      <c r="F17" s="116">
        <f>+D17+E17</f>
        <v>62500</v>
      </c>
    </row>
    <row r="18" spans="1:6">
      <c r="A18" s="115" t="s">
        <v>456</v>
      </c>
      <c r="B18" s="93">
        <v>251818.35</v>
      </c>
      <c r="C18" s="21">
        <v>73487.81</v>
      </c>
      <c r="D18" s="21">
        <v>60233.35</v>
      </c>
      <c r="E18" s="94"/>
      <c r="F18" s="116">
        <f>+D18+E18</f>
        <v>60233.35</v>
      </c>
    </row>
    <row r="19" spans="1:6" s="1" customFormat="1">
      <c r="A19" s="142" t="s">
        <v>121</v>
      </c>
      <c r="B19" s="139">
        <f>+B18+B17+B13</f>
        <v>12597389.369999999</v>
      </c>
      <c r="C19" s="139">
        <f>+C18+C17+C13</f>
        <v>12522393.289999999</v>
      </c>
      <c r="D19" s="140">
        <f>+D18+D17+D13</f>
        <v>12447915.689999999</v>
      </c>
      <c r="E19" s="140">
        <f>+E13+E17+E18</f>
        <v>1445119.3</v>
      </c>
      <c r="F19" s="141">
        <f>+F13+F17+F18</f>
        <v>13893034.99</v>
      </c>
    </row>
    <row r="23" spans="1:6">
      <c r="A23" s="118"/>
      <c r="B23" s="123">
        <v>2023</v>
      </c>
      <c r="C23" s="119" t="s">
        <v>55</v>
      </c>
      <c r="D23" s="130" t="s">
        <v>451</v>
      </c>
      <c r="E23" s="120" t="s">
        <v>460</v>
      </c>
      <c r="F23" s="121" t="s">
        <v>86</v>
      </c>
    </row>
    <row r="24" spans="1:6">
      <c r="A24" s="142" t="s">
        <v>117</v>
      </c>
      <c r="B24" s="139">
        <f>B19-B7</f>
        <v>-109195.38000000268</v>
      </c>
      <c r="C24" s="139">
        <f>C19-C7</f>
        <v>-7090.820000000298</v>
      </c>
      <c r="D24" s="140">
        <f>D19-D7</f>
        <v>1.9999999552965164E-2</v>
      </c>
      <c r="E24" s="140">
        <f>E19-E7</f>
        <v>181767.30000000005</v>
      </c>
      <c r="F24" s="141">
        <f>F19-F7</f>
        <v>181767.3200000003</v>
      </c>
    </row>
  </sheetData>
  <pageMargins left="0.7" right="0.7" top="0.75" bottom="0.75" header="0.3" footer="0.3"/>
  <legacy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83D593-AC3D-4B7C-8874-C811F525B1AE}">
  <dimension ref="A3:G24"/>
  <sheetViews>
    <sheetView workbookViewId="0">
      <selection activeCell="C19" sqref="C19"/>
    </sheetView>
  </sheetViews>
  <sheetFormatPr baseColWidth="10" defaultRowHeight="15"/>
  <cols>
    <col min="1" max="1" width="66.85546875" bestFit="1" customWidth="1"/>
    <col min="2" max="2" width="15.42578125" bestFit="1" customWidth="1"/>
    <col min="3" max="3" width="14.28515625" bestFit="1" customWidth="1"/>
    <col min="4" max="4" width="14" bestFit="1" customWidth="1"/>
    <col min="5" max="5" width="14" customWidth="1"/>
    <col min="7" max="7" width="11.7109375" bestFit="1" customWidth="1"/>
  </cols>
  <sheetData>
    <row r="3" spans="1:7">
      <c r="A3" s="128" t="s">
        <v>87</v>
      </c>
      <c r="B3" s="129" t="s">
        <v>0</v>
      </c>
      <c r="C3" s="129" t="s">
        <v>55</v>
      </c>
      <c r="D3" s="130" t="s">
        <v>451</v>
      </c>
      <c r="E3" s="131" t="s">
        <v>86</v>
      </c>
    </row>
    <row r="4" spans="1:7">
      <c r="A4" s="124" t="s">
        <v>84</v>
      </c>
      <c r="B4" s="125">
        <v>5967075.5099999998</v>
      </c>
      <c r="C4" s="125">
        <v>5780034.6600000001</v>
      </c>
      <c r="D4" s="125">
        <v>5423490.9900000002</v>
      </c>
      <c r="E4" s="126">
        <f>D4</f>
        <v>5423490.9900000002</v>
      </c>
    </row>
    <row r="5" spans="1:7">
      <c r="A5" s="115" t="s">
        <v>452</v>
      </c>
      <c r="B5" s="21">
        <v>341337.69</v>
      </c>
      <c r="C5" s="21">
        <v>984616.82000000007</v>
      </c>
      <c r="D5" s="21">
        <v>897805.1</v>
      </c>
      <c r="E5" s="94">
        <f t="shared" ref="E5:E7" si="0">D5</f>
        <v>897805.1</v>
      </c>
    </row>
    <row r="6" spans="1:7">
      <c r="A6" s="135" t="s">
        <v>453</v>
      </c>
      <c r="B6" s="136">
        <v>4218361.82</v>
      </c>
      <c r="C6" s="136">
        <v>3236601.29</v>
      </c>
      <c r="D6" s="136">
        <v>3294661.92</v>
      </c>
      <c r="E6" s="137">
        <f t="shared" si="0"/>
        <v>3294661.92</v>
      </c>
    </row>
    <row r="7" spans="1:7" s="1" customFormat="1">
      <c r="A7" s="142" t="s">
        <v>121</v>
      </c>
      <c r="B7" s="139">
        <f>SUM(B4:B6)</f>
        <v>10526775.02</v>
      </c>
      <c r="C7" s="139">
        <f>SUM(C4:C6)</f>
        <v>10001252.77</v>
      </c>
      <c r="D7" s="140">
        <f>SUM(D4:D6)</f>
        <v>9615958.0099999998</v>
      </c>
      <c r="E7" s="140">
        <f t="shared" si="0"/>
        <v>9615958.0099999998</v>
      </c>
    </row>
    <row r="12" spans="1:7">
      <c r="A12" s="128" t="s">
        <v>115</v>
      </c>
      <c r="B12" s="129" t="s">
        <v>0</v>
      </c>
      <c r="C12" s="129" t="s">
        <v>55</v>
      </c>
      <c r="D12" s="130" t="s">
        <v>451</v>
      </c>
      <c r="E12" s="131" t="s">
        <v>86</v>
      </c>
    </row>
    <row r="13" spans="1:7">
      <c r="A13" s="124" t="s">
        <v>454</v>
      </c>
      <c r="B13" s="133">
        <v>8890098.0099999998</v>
      </c>
      <c r="C13" s="133">
        <v>9151069.1900000013</v>
      </c>
      <c r="D13" s="133">
        <v>9446796.5500000007</v>
      </c>
      <c r="E13" s="134">
        <f>D13</f>
        <v>9446796.5500000007</v>
      </c>
    </row>
    <row r="14" spans="1:7">
      <c r="A14" s="117" t="s">
        <v>457</v>
      </c>
      <c r="B14" s="21">
        <v>4334967.8</v>
      </c>
      <c r="C14" s="21">
        <v>4486522.6900000004</v>
      </c>
      <c r="D14" s="21">
        <v>4465089.6900000004</v>
      </c>
      <c r="E14" s="94">
        <f t="shared" ref="E14:E19" si="1">D14</f>
        <v>4465089.6900000004</v>
      </c>
      <c r="G14" s="35"/>
    </row>
    <row r="15" spans="1:7">
      <c r="A15" s="117" t="s">
        <v>458</v>
      </c>
      <c r="B15" s="21">
        <f>2657222.71+807098.01</f>
        <v>3464320.7199999997</v>
      </c>
      <c r="C15" s="21">
        <v>3559854.49</v>
      </c>
      <c r="D15" s="21">
        <v>3887199.61</v>
      </c>
      <c r="E15" s="94">
        <f t="shared" si="1"/>
        <v>3887199.61</v>
      </c>
    </row>
    <row r="16" spans="1:7">
      <c r="A16" s="117" t="s">
        <v>459</v>
      </c>
      <c r="B16" s="21">
        <f>660348+385786+44675.49</f>
        <v>1090809.49</v>
      </c>
      <c r="C16" s="21">
        <v>1104692.01</v>
      </c>
      <c r="D16" s="21">
        <v>1094507.25</v>
      </c>
      <c r="E16" s="94">
        <f t="shared" si="1"/>
        <v>1094507.25</v>
      </c>
    </row>
    <row r="17" spans="1:5">
      <c r="A17" s="115" t="s">
        <v>455</v>
      </c>
      <c r="B17" s="93">
        <v>26897.94</v>
      </c>
      <c r="C17" s="21">
        <v>22812.29</v>
      </c>
      <c r="D17" s="21">
        <v>82500</v>
      </c>
      <c r="E17" s="94">
        <f t="shared" si="1"/>
        <v>82500</v>
      </c>
    </row>
    <row r="18" spans="1:5">
      <c r="A18" s="115" t="s">
        <v>456</v>
      </c>
      <c r="B18" s="93">
        <v>582300.73</v>
      </c>
      <c r="C18" s="21">
        <v>318133.62</v>
      </c>
      <c r="D18" s="21">
        <v>86661.48</v>
      </c>
      <c r="E18" s="94">
        <f t="shared" si="1"/>
        <v>86661.48</v>
      </c>
    </row>
    <row r="19" spans="1:5" s="1" customFormat="1">
      <c r="A19" s="142" t="s">
        <v>121</v>
      </c>
      <c r="B19" s="139">
        <f>+B18+B17+B13</f>
        <v>9499296.6799999997</v>
      </c>
      <c r="C19" s="139">
        <f>+C18+C17+C13</f>
        <v>9492015.1000000015</v>
      </c>
      <c r="D19" s="140">
        <f>+D18+D17+D13</f>
        <v>9615958.0300000012</v>
      </c>
      <c r="E19" s="140">
        <f t="shared" si="1"/>
        <v>9615958.0300000012</v>
      </c>
    </row>
    <row r="23" spans="1:5">
      <c r="A23" s="118"/>
      <c r="B23" s="123">
        <v>2023</v>
      </c>
      <c r="C23" s="119" t="s">
        <v>55</v>
      </c>
      <c r="D23" s="130" t="s">
        <v>451</v>
      </c>
      <c r="E23" s="120" t="s">
        <v>86</v>
      </c>
    </row>
    <row r="24" spans="1:5">
      <c r="A24" s="142" t="s">
        <v>117</v>
      </c>
      <c r="B24" s="139">
        <f>B19-B7</f>
        <v>-1027478.3399999999</v>
      </c>
      <c r="C24" s="139">
        <f>C19-C7</f>
        <v>-509237.66999999806</v>
      </c>
      <c r="D24" s="140">
        <f>D19-D7</f>
        <v>2.0000001415610313E-2</v>
      </c>
      <c r="E24" s="140">
        <f>E19-E7</f>
        <v>2.0000001415610313E-2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A09B27-830B-4890-B76A-B965CC32A06D}">
  <dimension ref="A3:E21"/>
  <sheetViews>
    <sheetView workbookViewId="0">
      <selection activeCell="D20" sqref="D20"/>
    </sheetView>
  </sheetViews>
  <sheetFormatPr baseColWidth="10" defaultRowHeight="15"/>
  <cols>
    <col min="1" max="1" width="66.85546875" bestFit="1" customWidth="1"/>
    <col min="2" max="2" width="15.42578125" bestFit="1" customWidth="1"/>
    <col min="3" max="3" width="14.28515625" bestFit="1" customWidth="1"/>
    <col min="4" max="4" width="14" bestFit="1" customWidth="1"/>
    <col min="5" max="5" width="12.7109375" bestFit="1" customWidth="1"/>
  </cols>
  <sheetData>
    <row r="3" spans="1:5">
      <c r="A3" s="128" t="s">
        <v>87</v>
      </c>
      <c r="B3" s="129" t="s">
        <v>0</v>
      </c>
      <c r="C3" s="129" t="s">
        <v>55</v>
      </c>
      <c r="D3" s="130" t="s">
        <v>451</v>
      </c>
      <c r="E3" s="131" t="s">
        <v>86</v>
      </c>
    </row>
    <row r="4" spans="1:5">
      <c r="A4" s="124" t="s">
        <v>84</v>
      </c>
      <c r="B4" s="125">
        <v>915299.28</v>
      </c>
      <c r="C4" s="125">
        <v>922651.59000000008</v>
      </c>
      <c r="D4" s="125">
        <v>1036905.35</v>
      </c>
      <c r="E4" s="126"/>
    </row>
    <row r="5" spans="1:5">
      <c r="A5" s="115" t="s">
        <v>452</v>
      </c>
      <c r="B5" s="21">
        <v>279679.31</v>
      </c>
      <c r="C5" s="21">
        <v>191924.76999999996</v>
      </c>
      <c r="D5" s="21">
        <v>244791.18</v>
      </c>
      <c r="E5" s="94"/>
    </row>
    <row r="6" spans="1:5">
      <c r="A6" s="135" t="s">
        <v>453</v>
      </c>
      <c r="B6" s="136">
        <v>205498.11</v>
      </c>
      <c r="C6" s="136">
        <v>144769.76</v>
      </c>
      <c r="D6" s="136">
        <v>118000</v>
      </c>
      <c r="E6" s="137"/>
    </row>
    <row r="7" spans="1:5" s="1" customFormat="1">
      <c r="A7" s="142" t="s">
        <v>121</v>
      </c>
      <c r="B7" s="139">
        <f>SUM(B4:B6)</f>
        <v>1400476.7000000002</v>
      </c>
      <c r="C7" s="139">
        <f>SUM(C4:C6)</f>
        <v>1259346.1200000001</v>
      </c>
      <c r="D7" s="140">
        <f>SUM(D4:D6)</f>
        <v>1399696.53</v>
      </c>
      <c r="E7" s="140"/>
    </row>
    <row r="12" spans="1:5">
      <c r="A12" s="128" t="s">
        <v>115</v>
      </c>
      <c r="B12" s="129" t="s">
        <v>0</v>
      </c>
      <c r="C12" s="129" t="s">
        <v>55</v>
      </c>
      <c r="D12" s="130" t="s">
        <v>451</v>
      </c>
      <c r="E12" s="131" t="s">
        <v>86</v>
      </c>
    </row>
    <row r="13" spans="1:5">
      <c r="A13" s="124" t="s">
        <v>454</v>
      </c>
      <c r="B13" s="125">
        <v>1168515.29</v>
      </c>
      <c r="C13" s="125">
        <v>1150401.29</v>
      </c>
      <c r="D13" s="125">
        <v>1379696.54</v>
      </c>
      <c r="E13" s="126"/>
    </row>
    <row r="14" spans="1:5">
      <c r="A14" s="115" t="s">
        <v>455</v>
      </c>
      <c r="B14" s="21">
        <v>0</v>
      </c>
      <c r="C14" s="21">
        <v>971.78</v>
      </c>
      <c r="D14" s="21"/>
      <c r="E14" s="94"/>
    </row>
    <row r="15" spans="1:5">
      <c r="A15" s="135" t="s">
        <v>456</v>
      </c>
      <c r="B15" s="136">
        <v>142407.23000000001</v>
      </c>
      <c r="C15" s="136">
        <v>1426.12</v>
      </c>
      <c r="D15" s="136">
        <v>20000</v>
      </c>
      <c r="E15" s="137"/>
    </row>
    <row r="16" spans="1:5" s="1" customFormat="1">
      <c r="A16" s="142" t="s">
        <v>121</v>
      </c>
      <c r="B16" s="139">
        <f>SUM(B13:B15)</f>
        <v>1310922.52</v>
      </c>
      <c r="C16" s="139">
        <f>SUM(C13:C15)</f>
        <v>1152799.1900000002</v>
      </c>
      <c r="D16" s="140">
        <f>SUM(D13:D15)</f>
        <v>1399696.54</v>
      </c>
      <c r="E16" s="140"/>
    </row>
    <row r="20" spans="1:5">
      <c r="A20" s="118"/>
      <c r="B20" s="123">
        <v>2023</v>
      </c>
      <c r="C20" s="119" t="s">
        <v>55</v>
      </c>
      <c r="D20" s="130" t="s">
        <v>451</v>
      </c>
      <c r="E20" s="120" t="s">
        <v>86</v>
      </c>
    </row>
    <row r="21" spans="1:5">
      <c r="A21" s="142" t="s">
        <v>117</v>
      </c>
      <c r="B21" s="139">
        <f>B16-B7</f>
        <v>-89554.180000000168</v>
      </c>
      <c r="C21" s="139">
        <f>C16-C7</f>
        <v>-106546.92999999993</v>
      </c>
      <c r="D21" s="140">
        <f>D16-D7</f>
        <v>1.0000000009313226E-2</v>
      </c>
      <c r="E21" s="140">
        <f>E16-E7</f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24</vt:i4>
      </vt:variant>
      <vt:variant>
        <vt:lpstr>Plages nommées</vt:lpstr>
      </vt:variant>
      <vt:variant>
        <vt:i4>2</vt:i4>
      </vt:variant>
    </vt:vector>
  </HeadingPairs>
  <TitlesOfParts>
    <vt:vector size="26" baseType="lpstr">
      <vt:lpstr>=&gt; Budget principal</vt:lpstr>
      <vt:lpstr>SYNTHESE</vt:lpstr>
      <vt:lpstr>RECETTES</vt:lpstr>
      <vt:lpstr>DEPENSES</vt:lpstr>
      <vt:lpstr>Mesures nouvelles</vt:lpstr>
      <vt:lpstr>=&gt; Budgets annexes</vt:lpstr>
      <vt:lpstr>Ehpad Sens</vt:lpstr>
      <vt:lpstr>Ehpad VSY</vt:lpstr>
      <vt:lpstr>SSIAD</vt:lpstr>
      <vt:lpstr>IFMS</vt:lpstr>
      <vt:lpstr>GHT</vt:lpstr>
      <vt:lpstr>DNA</vt:lpstr>
      <vt:lpstr>Synthèse BA 2024</vt:lpstr>
      <vt:lpstr>=&gt; Immobilisations</vt:lpstr>
      <vt:lpstr>Prog Inv 2025</vt:lpstr>
      <vt:lpstr>Titan</vt:lpstr>
      <vt:lpstr>Chapelle</vt:lpstr>
      <vt:lpstr>Reports</vt:lpstr>
      <vt:lpstr>TabFin</vt:lpstr>
      <vt:lpstr>CAF</vt:lpstr>
      <vt:lpstr>Feuil1</vt:lpstr>
      <vt:lpstr>-&gt; Détail GCS</vt:lpstr>
      <vt:lpstr>Part libéraux</vt:lpstr>
      <vt:lpstr>Redevance</vt:lpstr>
      <vt:lpstr>\Après_DGFIP\IMPOT_REM\M_1_REAL</vt:lpstr>
      <vt:lpstr>\Après_DGFIP\IMPOT_REM\TOT_M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Mamadou BARRY</dc:creator>
  <cp:lastModifiedBy>BRUNO LOTH</cp:lastModifiedBy>
  <cp:lastPrinted>2025-03-14T07:34:39Z</cp:lastPrinted>
  <dcterms:created xsi:type="dcterms:W3CDTF">2025-02-11T10:41:29Z</dcterms:created>
  <dcterms:modified xsi:type="dcterms:W3CDTF">2025-03-21T16:17:10Z</dcterms:modified>
</cp:coreProperties>
</file>